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382723-BFBB-4FD9-BD49-75B268ABCCAC}" xr6:coauthVersionLast="36" xr6:coauthVersionMax="36" xr10:uidLastSave="{00000000-0000-0000-0000-000000000000}"/>
  <bookViews>
    <workbookView xWindow="0" yWindow="0" windowWidth="28776" windowHeight="11652" activeTab="4" xr2:uid="{1C73F670-270B-4991-A0F8-610270F710EB}"/>
  </bookViews>
  <sheets>
    <sheet name="工作表1" sheetId="1" r:id="rId1"/>
    <sheet name="工作表2" sheetId="2" r:id="rId2"/>
    <sheet name="工作表3" sheetId="3" r:id="rId3"/>
    <sheet name="工作表4" sheetId="4" r:id="rId4"/>
    <sheet name="工作表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" l="1"/>
  <c r="D8" i="5"/>
  <c r="F5" i="5"/>
  <c r="D5" i="5"/>
  <c r="F2" i="5"/>
  <c r="D2" i="5"/>
  <c r="E16" i="4"/>
  <c r="C17" i="4"/>
  <c r="D17" i="4"/>
  <c r="B17" i="4"/>
  <c r="E15" i="4"/>
  <c r="F2" i="4"/>
  <c r="E2" i="4"/>
  <c r="O6" i="3" l="1"/>
  <c r="G26" i="3"/>
  <c r="G25" i="3"/>
  <c r="G24" i="3"/>
  <c r="G23" i="3"/>
  <c r="G22" i="3"/>
  <c r="G21" i="3"/>
  <c r="G15" i="3"/>
  <c r="G16" i="3"/>
  <c r="G14" i="3"/>
  <c r="G13" i="3"/>
  <c r="G12" i="3"/>
  <c r="G11" i="3"/>
  <c r="O5" i="3"/>
  <c r="O7" i="3"/>
  <c r="O4" i="3"/>
  <c r="O3" i="3"/>
  <c r="O2" i="3"/>
  <c r="B11" i="2" l="1"/>
  <c r="K19" i="2"/>
  <c r="J19" i="2"/>
  <c r="K11" i="2"/>
  <c r="J11" i="2"/>
  <c r="G19" i="2"/>
  <c r="F19" i="2"/>
  <c r="C19" i="2"/>
  <c r="B19" i="2"/>
  <c r="G11" i="2"/>
  <c r="F11" i="2"/>
  <c r="C11" i="2"/>
  <c r="B4" i="2"/>
  <c r="C4" i="2"/>
  <c r="S55" i="1" l="1"/>
  <c r="S56" i="1"/>
  <c r="S57" i="1"/>
  <c r="S58" i="1"/>
  <c r="S59" i="1"/>
  <c r="S60" i="1"/>
  <c r="S61" i="1"/>
  <c r="S54" i="1"/>
  <c r="X55" i="1"/>
  <c r="X56" i="1"/>
  <c r="X57" i="1"/>
  <c r="X58" i="1"/>
  <c r="X59" i="1"/>
  <c r="X60" i="1"/>
  <c r="X61" i="1"/>
  <c r="X54" i="1"/>
  <c r="N15" i="1"/>
  <c r="N21" i="1"/>
  <c r="E36" i="1" l="1"/>
  <c r="D36" i="1"/>
  <c r="C36" i="1"/>
  <c r="B26" i="1"/>
  <c r="B36" i="1" s="1"/>
  <c r="L15" i="1"/>
  <c r="L21" i="1"/>
  <c r="E15" i="1"/>
  <c r="E17" i="1"/>
  <c r="E18" i="1"/>
  <c r="E19" i="1"/>
  <c r="E20" i="1"/>
  <c r="E21" i="1"/>
  <c r="L9" i="1"/>
  <c r="L3" i="1"/>
  <c r="L4" i="1"/>
  <c r="E3" i="1"/>
  <c r="E8" i="1"/>
  <c r="E9" i="1"/>
  <c r="I20" i="1"/>
  <c r="N20" i="1" s="1"/>
  <c r="I19" i="1"/>
  <c r="N19" i="1" s="1"/>
  <c r="I18" i="1"/>
  <c r="N18" i="1" s="1"/>
  <c r="I17" i="1"/>
  <c r="N17" i="1" s="1"/>
  <c r="I16" i="1"/>
  <c r="N16" i="1" s="1"/>
  <c r="I14" i="1"/>
  <c r="N14" i="1" s="1"/>
  <c r="B20" i="1"/>
  <c r="B19" i="1"/>
  <c r="B18" i="1"/>
  <c r="B17" i="1"/>
  <c r="B16" i="1"/>
  <c r="E16" i="1" s="1"/>
  <c r="B14" i="1"/>
  <c r="E14" i="1" s="1"/>
  <c r="B8" i="1"/>
  <c r="B7" i="1"/>
  <c r="E7" i="1" s="1"/>
  <c r="B6" i="1"/>
  <c r="E6" i="1" s="1"/>
  <c r="B5" i="1"/>
  <c r="E5" i="1" s="1"/>
  <c r="B4" i="1"/>
  <c r="E4" i="1" s="1"/>
  <c r="B2" i="1"/>
  <c r="E2" i="1" s="1"/>
  <c r="I8" i="1"/>
  <c r="L8" i="1" s="1"/>
  <c r="I7" i="1"/>
  <c r="L7" i="1" s="1"/>
  <c r="I6" i="1"/>
  <c r="L6" i="1" s="1"/>
  <c r="I5" i="1"/>
  <c r="L5" i="1" s="1"/>
  <c r="I4" i="1"/>
  <c r="I2" i="1"/>
  <c r="L2" i="1" s="1"/>
  <c r="L20" i="1" l="1"/>
  <c r="L17" i="1"/>
  <c r="L16" i="1"/>
  <c r="L19" i="1"/>
  <c r="L14" i="1"/>
  <c r="L18" i="1"/>
</calcChain>
</file>

<file path=xl/sharedStrings.xml><?xml version="1.0" encoding="utf-8"?>
<sst xmlns="http://schemas.openxmlformats.org/spreadsheetml/2006/main" count="426" uniqueCount="164">
  <si>
    <t>MP2/6-31+G(d,p)</t>
    <phoneticPr fontId="1" type="noConversion"/>
  </si>
  <si>
    <t>H2</t>
    <phoneticPr fontId="1" type="noConversion"/>
  </si>
  <si>
    <t>LiH</t>
    <phoneticPr fontId="1" type="noConversion"/>
  </si>
  <si>
    <t>BeH2</t>
    <phoneticPr fontId="1" type="noConversion"/>
  </si>
  <si>
    <t>BH3</t>
    <phoneticPr fontId="1" type="noConversion"/>
  </si>
  <si>
    <t>CH4</t>
    <phoneticPr fontId="1" type="noConversion"/>
  </si>
  <si>
    <t>NH3</t>
    <phoneticPr fontId="1" type="noConversion"/>
  </si>
  <si>
    <t>H2O</t>
    <phoneticPr fontId="1" type="noConversion"/>
  </si>
  <si>
    <t>HF</t>
    <phoneticPr fontId="1" type="noConversion"/>
  </si>
  <si>
    <t>H</t>
    <phoneticPr fontId="1" type="noConversion"/>
  </si>
  <si>
    <t>X</t>
    <phoneticPr fontId="1" type="noConversion"/>
  </si>
  <si>
    <t>AE</t>
    <phoneticPr fontId="1" type="noConversion"/>
  </si>
  <si>
    <t>MP2/aug-cc-pVTZ</t>
    <phoneticPr fontId="1" type="noConversion"/>
  </si>
  <si>
    <t>B3LYP/6-31+G(d,p)</t>
    <phoneticPr fontId="1" type="noConversion"/>
  </si>
  <si>
    <t>B3LYP/aug-cc-pVTZ</t>
    <phoneticPr fontId="1" type="noConversion"/>
  </si>
  <si>
    <t>起始物</t>
    <phoneticPr fontId="1" type="noConversion"/>
  </si>
  <si>
    <t>Unit: kcal/mol</t>
    <phoneticPr fontId="1" type="noConversion"/>
  </si>
  <si>
    <t>(kcal/mol)</t>
    <phoneticPr fontId="1" type="noConversion"/>
  </si>
  <si>
    <t>Mean Absolute Error</t>
    <phoneticPr fontId="1" type="noConversion"/>
  </si>
  <si>
    <t>exp. value</t>
    <phoneticPr fontId="1" type="noConversion"/>
  </si>
  <si>
    <r>
      <t>△H</t>
    </r>
    <r>
      <rPr>
        <sz val="8"/>
        <color theme="1"/>
        <rFont val="新細明體"/>
        <family val="1"/>
        <charset val="136"/>
        <scheme val="minor"/>
      </rPr>
      <t>f</t>
    </r>
    <phoneticPr fontId="1" type="noConversion"/>
  </si>
  <si>
    <t>H2</t>
    <phoneticPr fontId="1" type="noConversion"/>
  </si>
  <si>
    <t>LiH</t>
    <phoneticPr fontId="1" type="noConversion"/>
  </si>
  <si>
    <t>BeH2</t>
    <phoneticPr fontId="1" type="noConversion"/>
  </si>
  <si>
    <t>BH3</t>
    <phoneticPr fontId="1" type="noConversion"/>
  </si>
  <si>
    <t>CH4</t>
    <phoneticPr fontId="1" type="noConversion"/>
  </si>
  <si>
    <t>NH3</t>
    <phoneticPr fontId="1" type="noConversion"/>
  </si>
  <si>
    <t>H2O</t>
    <phoneticPr fontId="1" type="noConversion"/>
  </si>
  <si>
    <t>HF</t>
    <phoneticPr fontId="1" type="noConversion"/>
  </si>
  <si>
    <t>B3LYP/aptz</t>
    <phoneticPr fontId="1" type="noConversion"/>
  </si>
  <si>
    <t>exp value</t>
    <phoneticPr fontId="1" type="noConversion"/>
  </si>
  <si>
    <t>CCSD(T)</t>
    <phoneticPr fontId="1" type="noConversion"/>
  </si>
  <si>
    <r>
      <t>ΔH°</t>
    </r>
    <r>
      <rPr>
        <sz val="11"/>
        <color rgb="FF8F5038"/>
        <rFont val="Times New Roman"/>
        <family val="1"/>
      </rPr>
      <t>f</t>
    </r>
    <phoneticPr fontId="1" type="noConversion"/>
  </si>
  <si>
    <t>H</t>
    <phoneticPr fontId="1" type="noConversion"/>
  </si>
  <si>
    <t>Be</t>
    <phoneticPr fontId="1" type="noConversion"/>
  </si>
  <si>
    <t>B</t>
    <phoneticPr fontId="1" type="noConversion"/>
  </si>
  <si>
    <t>C</t>
    <phoneticPr fontId="1" type="noConversion"/>
  </si>
  <si>
    <t>F</t>
    <phoneticPr fontId="1" type="noConversion"/>
  </si>
  <si>
    <t>Li</t>
    <phoneticPr fontId="1" type="noConversion"/>
  </si>
  <si>
    <t>N</t>
    <phoneticPr fontId="1" type="noConversion"/>
  </si>
  <si>
    <t>O</t>
    <phoneticPr fontId="1" type="noConversion"/>
  </si>
  <si>
    <t>AE</t>
    <phoneticPr fontId="1" type="noConversion"/>
  </si>
  <si>
    <t>1603, 3809, 3931</t>
    <phoneticPr fontId="1" type="noConversion"/>
  </si>
  <si>
    <t>1595, 3657, 3756</t>
    <phoneticPr fontId="1" type="noConversion"/>
  </si>
  <si>
    <t>bond length(Å)</t>
    <phoneticPr fontId="1" type="noConversion"/>
  </si>
  <si>
    <t>exp(Å)</t>
    <phoneticPr fontId="1" type="noConversion"/>
  </si>
  <si>
    <r>
      <t>vibration levels(cm</t>
    </r>
    <r>
      <rPr>
        <vertAlign val="superscript"/>
        <sz val="12"/>
        <color theme="1"/>
        <rFont val="新細明體"/>
        <family val="1"/>
        <charset val="136"/>
        <scheme val="minor"/>
      </rPr>
      <t>-1)</t>
    </r>
    <phoneticPr fontId="1" type="noConversion"/>
  </si>
  <si>
    <r>
      <t>exp(cm</t>
    </r>
    <r>
      <rPr>
        <vertAlign val="superscript"/>
        <sz val="12"/>
        <color theme="1"/>
        <rFont val="新細明體"/>
        <family val="1"/>
        <charset val="136"/>
        <scheme val="minor"/>
      </rPr>
      <t>-1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</si>
  <si>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t>1000, 1673, 3484…</t>
    <phoneticPr fontId="1" type="noConversion"/>
  </si>
  <si>
    <t>950, 1627, 3337…</t>
    <phoneticPr fontId="1" type="noConversion"/>
  </si>
  <si>
    <t>1347, 1563, 3150…</t>
    <phoneticPr fontId="1" type="noConversion"/>
  </si>
  <si>
    <t>N/A</t>
    <phoneticPr fontId="1" type="noConversion"/>
  </si>
  <si>
    <t>1157, 1205, 2704...</t>
    <phoneticPr fontId="1" type="noConversion"/>
  </si>
  <si>
    <t>735, 2038, 2260</t>
    <phoneticPr fontId="1" type="noConversion"/>
  </si>
  <si>
    <t>CCSD(T)/aptz</t>
    <phoneticPr fontId="1" type="noConversion"/>
  </si>
  <si>
    <t>B3LYP</t>
    <phoneticPr fontId="1" type="noConversion"/>
  </si>
  <si>
    <t>698, 2159</t>
    <phoneticPr fontId="1" type="noConversion"/>
  </si>
  <si>
    <t>error</t>
    <phoneticPr fontId="1" type="noConversion"/>
  </si>
  <si>
    <t>差距</t>
    <phoneticPr fontId="1" type="noConversion"/>
  </si>
  <si>
    <t>1148, 1197, 2602</t>
    <phoneticPr fontId="1" type="noConversion"/>
  </si>
  <si>
    <t>HNC</t>
    <phoneticPr fontId="1" type="noConversion"/>
  </si>
  <si>
    <t>TS</t>
    <phoneticPr fontId="1" type="noConversion"/>
  </si>
  <si>
    <t>Barrier height</t>
    <phoneticPr fontId="1" type="noConversion"/>
  </si>
  <si>
    <t>MP2/6-31+G**</t>
    <phoneticPr fontId="1" type="noConversion"/>
  </si>
  <si>
    <t>MP2/aptz</t>
    <phoneticPr fontId="1" type="noConversion"/>
  </si>
  <si>
    <t>exp</t>
    <phoneticPr fontId="1" type="noConversion"/>
  </si>
  <si>
    <t>CH4+OH</t>
    <phoneticPr fontId="1" type="noConversion"/>
  </si>
  <si>
    <t>OH</t>
    <phoneticPr fontId="1" type="noConversion"/>
  </si>
  <si>
    <t>delta G</t>
    <phoneticPr fontId="1" type="noConversion"/>
  </si>
  <si>
    <t>298.15K</t>
    <phoneticPr fontId="1" type="noConversion"/>
  </si>
  <si>
    <t>CH4+OH(298.15K)</t>
    <phoneticPr fontId="1" type="noConversion"/>
  </si>
  <si>
    <t>CH4+OH(273.15K)</t>
    <phoneticPr fontId="1" type="noConversion"/>
  </si>
  <si>
    <t>CH4+OH(373.15K)</t>
    <phoneticPr fontId="1" type="noConversion"/>
  </si>
  <si>
    <t>CD4+OH(298.15K)</t>
    <phoneticPr fontId="1" type="noConversion"/>
  </si>
  <si>
    <t>CD4+OH(273.15K)</t>
    <phoneticPr fontId="1" type="noConversion"/>
  </si>
  <si>
    <t>CD4+OH(373.15K)</t>
    <phoneticPr fontId="1" type="noConversion"/>
  </si>
  <si>
    <t>rate constant</t>
    <phoneticPr fontId="1" type="noConversion"/>
  </si>
  <si>
    <t>reate constant</t>
    <phoneticPr fontId="1" type="noConversion"/>
  </si>
  <si>
    <t>CD4</t>
    <phoneticPr fontId="1" type="noConversion"/>
  </si>
  <si>
    <t>2.52*10^-17</t>
    <phoneticPr fontId="1" type="noConversion"/>
  </si>
  <si>
    <t>9.97*10^-15</t>
    <phoneticPr fontId="1" type="noConversion"/>
  </si>
  <si>
    <t>2.77*10^-17</t>
    <phoneticPr fontId="1" type="noConversion"/>
  </si>
  <si>
    <t>4.82*10^-15</t>
    <phoneticPr fontId="1" type="noConversion"/>
  </si>
  <si>
    <t>1.02*10^-15</t>
    <phoneticPr fontId="1" type="noConversion"/>
  </si>
  <si>
    <t>5.08*10^-14</t>
    <phoneticPr fontId="1" type="noConversion"/>
  </si>
  <si>
    <t>9.85*10^-18</t>
    <phoneticPr fontId="1" type="noConversion"/>
  </si>
  <si>
    <t>1.56*10^-15</t>
    <phoneticPr fontId="1" type="noConversion"/>
  </si>
  <si>
    <t>2.53*10^-18</t>
    <phoneticPr fontId="1" type="noConversion"/>
  </si>
  <si>
    <t>5.29*10^-16</t>
    <phoneticPr fontId="1" type="noConversion"/>
  </si>
  <si>
    <t>2.02*10^-16</t>
    <phoneticPr fontId="1" type="noConversion"/>
  </si>
  <si>
    <t>1.15*10^-14</t>
    <phoneticPr fontId="1" type="noConversion"/>
  </si>
  <si>
    <t>CH4+OH,6-31+G**</t>
    <phoneticPr fontId="1" type="noConversion"/>
  </si>
  <si>
    <t>ln(k)</t>
    <phoneticPr fontId="1" type="noConversion"/>
  </si>
  <si>
    <t>1000/T</t>
    <phoneticPr fontId="1" type="noConversion"/>
  </si>
  <si>
    <t>ln(2.52*10^-17)</t>
    <phoneticPr fontId="1" type="noConversion"/>
  </si>
  <si>
    <t>1.53*10^-25</t>
    <phoneticPr fontId="1" type="noConversion"/>
  </si>
  <si>
    <t>1.19*10^-26</t>
    <phoneticPr fontId="1" type="noConversion"/>
  </si>
  <si>
    <t>4.52*^10-23</t>
    <phoneticPr fontId="1" type="noConversion"/>
  </si>
  <si>
    <t>ln(k) exp</t>
    <phoneticPr fontId="1" type="noConversion"/>
  </si>
  <si>
    <t>calculated</t>
    <phoneticPr fontId="1" type="noConversion"/>
  </si>
  <si>
    <t>2.04*10^-15</t>
    <phoneticPr fontId="1" type="noConversion"/>
  </si>
  <si>
    <t>6.3*10^-15</t>
    <phoneticPr fontId="1" type="noConversion"/>
  </si>
  <si>
    <t>3.48*10^-14</t>
    <phoneticPr fontId="1" type="noConversion"/>
  </si>
  <si>
    <t>4.30*10^-15</t>
    <phoneticPr fontId="1" type="noConversion"/>
  </si>
  <si>
    <t>2.68*10^-14</t>
    <phoneticPr fontId="1" type="noConversion"/>
  </si>
  <si>
    <t>6-31+G**</t>
    <phoneticPr fontId="1" type="noConversion"/>
  </si>
  <si>
    <t>273.15K</t>
    <phoneticPr fontId="1" type="noConversion"/>
  </si>
  <si>
    <t>373.15K</t>
    <phoneticPr fontId="1" type="noConversion"/>
  </si>
  <si>
    <t>CD4+OH</t>
    <phoneticPr fontId="1" type="noConversion"/>
  </si>
  <si>
    <t>4.64*10^-14</t>
    <phoneticPr fontId="1" type="noConversion"/>
  </si>
  <si>
    <t>1st</t>
    <phoneticPr fontId="1" type="noConversion"/>
  </si>
  <si>
    <t>2nd</t>
    <phoneticPr fontId="1" type="noConversion"/>
  </si>
  <si>
    <t xml:space="preserve">3rd </t>
    <phoneticPr fontId="1" type="noConversion"/>
  </si>
  <si>
    <t>4th</t>
    <phoneticPr fontId="1" type="noConversion"/>
  </si>
  <si>
    <t>5th</t>
    <phoneticPr fontId="1" type="noConversion"/>
  </si>
  <si>
    <t>6th</t>
    <phoneticPr fontId="1" type="noConversion"/>
  </si>
  <si>
    <t>7th</t>
    <phoneticPr fontId="1" type="noConversion"/>
  </si>
  <si>
    <t>8th</t>
    <phoneticPr fontId="1" type="noConversion"/>
  </si>
  <si>
    <t>9th</t>
    <phoneticPr fontId="1" type="noConversion"/>
  </si>
  <si>
    <t>10th</t>
    <phoneticPr fontId="1" type="noConversion"/>
  </si>
  <si>
    <t>11th</t>
    <phoneticPr fontId="1" type="noConversion"/>
  </si>
  <si>
    <t>12th</t>
    <phoneticPr fontId="1" type="noConversion"/>
  </si>
  <si>
    <t>13th</t>
    <phoneticPr fontId="1" type="noConversion"/>
  </si>
  <si>
    <t>aug-cc-pVTZ</t>
    <phoneticPr fontId="1" type="noConversion"/>
  </si>
  <si>
    <t>daug-cc-pVTZ</t>
    <phoneticPr fontId="1" type="noConversion"/>
  </si>
  <si>
    <t>daug-cc-pVQZ</t>
    <phoneticPr fontId="1" type="noConversion"/>
  </si>
  <si>
    <t>daug-cc-pV5Z</t>
    <phoneticPr fontId="1" type="noConversion"/>
  </si>
  <si>
    <t>daug-cc-pV6Z</t>
    <phoneticPr fontId="1" type="noConversion"/>
  </si>
  <si>
    <t>daug-cc-pV5Z+S,P</t>
    <phoneticPr fontId="1" type="noConversion"/>
  </si>
  <si>
    <t>3rd</t>
    <phoneticPr fontId="1" type="noConversion"/>
  </si>
  <si>
    <t>He(CIS)</t>
    <phoneticPr fontId="1" type="noConversion"/>
  </si>
  <si>
    <t>He(CIS(D))</t>
    <phoneticPr fontId="1" type="noConversion"/>
  </si>
  <si>
    <t>daug-cc-pV5Z+s,p</t>
    <phoneticPr fontId="1" type="noConversion"/>
  </si>
  <si>
    <t>daug-cc-pV5Z+2s,p+d</t>
    <phoneticPr fontId="1" type="noConversion"/>
  </si>
  <si>
    <t>exp.</t>
    <phoneticPr fontId="1" type="noConversion"/>
  </si>
  <si>
    <t>total error</t>
    <phoneticPr fontId="1" type="noConversion"/>
  </si>
  <si>
    <t xml:space="preserve">1st~4th error </t>
  </si>
  <si>
    <t xml:space="preserve">1st~4th error </t>
    <phoneticPr fontId="1" type="noConversion"/>
  </si>
  <si>
    <t>H      (Unit: eV)</t>
    <phoneticPr fontId="1" type="noConversion"/>
  </si>
  <si>
    <t>ES</t>
    <phoneticPr fontId="1" type="noConversion"/>
  </si>
  <si>
    <t>daptz</t>
    <phoneticPr fontId="1" type="noConversion"/>
  </si>
  <si>
    <t>daptz+sp</t>
    <phoneticPr fontId="1" type="noConversion"/>
  </si>
  <si>
    <t>6-311+G(d) T</t>
    <phoneticPr fontId="1" type="noConversion"/>
  </si>
  <si>
    <t>triplet P</t>
    <phoneticPr fontId="1" type="noConversion"/>
  </si>
  <si>
    <t>singlet D</t>
    <phoneticPr fontId="1" type="noConversion"/>
  </si>
  <si>
    <t>singlet S</t>
    <phoneticPr fontId="1" type="noConversion"/>
  </si>
  <si>
    <t>delta E</t>
    <phoneticPr fontId="1" type="noConversion"/>
  </si>
  <si>
    <t>delta E(T-S)</t>
    <phoneticPr fontId="1" type="noConversion"/>
  </si>
  <si>
    <t>delta E(S1-S2)</t>
    <phoneticPr fontId="1" type="noConversion"/>
  </si>
  <si>
    <t>7-Azaindole </t>
  </si>
  <si>
    <t>normal form</t>
    <phoneticPr fontId="1" type="noConversion"/>
  </si>
  <si>
    <t>tautomer form</t>
    <phoneticPr fontId="1" type="noConversion"/>
  </si>
  <si>
    <t>energy</t>
    <phoneticPr fontId="1" type="noConversion"/>
  </si>
  <si>
    <t>TS</t>
    <phoneticPr fontId="1" type="noConversion"/>
  </si>
  <si>
    <t>barrier height</t>
    <phoneticPr fontId="1" type="noConversion"/>
  </si>
  <si>
    <t>1st ES</t>
    <phoneticPr fontId="1" type="noConversion"/>
  </si>
  <si>
    <t>gas</t>
    <phoneticPr fontId="1" type="noConversion"/>
  </si>
  <si>
    <t>CH3F</t>
    <phoneticPr fontId="1" type="noConversion"/>
  </si>
  <si>
    <t>F-</t>
    <phoneticPr fontId="1" type="noConversion"/>
  </si>
  <si>
    <t>reactant</t>
    <phoneticPr fontId="1" type="noConversion"/>
  </si>
  <si>
    <t>Energy</t>
    <phoneticPr fontId="1" type="noConversion"/>
  </si>
  <si>
    <t>barrier height</t>
    <phoneticPr fontId="1" type="noConversion"/>
  </si>
  <si>
    <t>MS</t>
    <phoneticPr fontId="1" type="noConversion"/>
  </si>
  <si>
    <t>CM  ( PCM,sovlent=Water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</si>
</sst>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"/>
    <numFmt numFmtId="177" formatCode="0.0"/>
    <numFmt numFmtId="178" formatCode="0.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sz val="15"/>
      <color rgb="FF8F5038"/>
      <name val="Times New Roman"/>
      <family val="1"/>
    </font>
    <font>
      <sz val="11"/>
      <color rgb="FF8F5038"/>
      <name val="Times New Roman"/>
      <family val="1"/>
    </font>
    <font>
      <vertAlign val="superscript"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8F503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178" fontId="0" fillId="0" borderId="0" xfId="0" applyNumberFormat="1">
      <alignment vertical="center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176" fontId="6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工作表1!$A$26</c:f>
              <c:strCache>
                <c:ptCount val="1"/>
                <c:pt idx="0">
                  <c:v>H2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工作表1!$B$26:$F$26</c:f>
              <c:numCache>
                <c:formatCode>General</c:formatCode>
                <c:ptCount val="5"/>
                <c:pt idx="0" formatCode="0.0">
                  <c:v>101.2</c:v>
                </c:pt>
                <c:pt idx="1">
                  <c:v>103.8</c:v>
                </c:pt>
                <c:pt idx="2">
                  <c:v>111.7</c:v>
                </c:pt>
                <c:pt idx="3">
                  <c:v>110.1</c:v>
                </c:pt>
                <c:pt idx="4">
                  <c:v>104.2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D-44C0-8A9E-DA3521096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034752"/>
        <c:axId val="1016457024"/>
      </c:barChart>
      <c:catAx>
        <c:axId val="10080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16457024"/>
        <c:crosses val="autoZero"/>
        <c:auto val="1"/>
        <c:lblAlgn val="ctr"/>
        <c:lblOffset val="100"/>
        <c:noMultiLvlLbl val="0"/>
      </c:catAx>
      <c:valAx>
        <c:axId val="10164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08034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△Hf</a:t>
            </a:r>
            <a:r>
              <a:rPr lang="zh-TW" altLang="zh-TW" sz="1800" b="0" i="0" baseline="0">
                <a:effectLst/>
              </a:rPr>
              <a:t>誤差</a:t>
            </a:r>
            <a:r>
              <a:rPr lang="en-US" altLang="zh-TW" sz="1800" b="0" i="0" baseline="0">
                <a:effectLst/>
              </a:rPr>
              <a:t> 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工作表1!$U$54</c:f>
              <c:strCache>
                <c:ptCount val="1"/>
                <c:pt idx="0">
                  <c:v>H2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工作表1!$V$54:$X$54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3-4691-A7FB-66DFF8F45996}"/>
            </c:ext>
          </c:extLst>
        </c:ser>
        <c:ser>
          <c:idx val="1"/>
          <c:order val="1"/>
          <c:tx>
            <c:strRef>
              <c:f>工作表1!$U$55</c:f>
              <c:strCache>
                <c:ptCount val="1"/>
                <c:pt idx="0">
                  <c:v>LiH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工作表1!$V$55:$X$55</c:f>
              <c:numCache>
                <c:formatCode>General</c:formatCode>
                <c:ptCount val="3"/>
                <c:pt idx="0">
                  <c:v>26.2</c:v>
                </c:pt>
                <c:pt idx="1">
                  <c:v>33.6</c:v>
                </c:pt>
                <c:pt idx="2">
                  <c:v>7.4000000000000021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3-4691-A7FB-66DFF8F45996}"/>
            </c:ext>
          </c:extLst>
        </c:ser>
        <c:ser>
          <c:idx val="2"/>
          <c:order val="2"/>
          <c:tx>
            <c:strRef>
              <c:f>工作表1!$U$56</c:f>
              <c:strCache>
                <c:ptCount val="1"/>
                <c:pt idx="0">
                  <c:v>BeH2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工作表1!$V$56:$X$56</c:f>
              <c:numCache>
                <c:formatCode>General</c:formatCode>
                <c:ptCount val="3"/>
                <c:pt idx="0">
                  <c:v>16.8</c:v>
                </c:pt>
                <c:pt idx="1">
                  <c:v>30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3-4691-A7FB-66DFF8F45996}"/>
            </c:ext>
          </c:extLst>
        </c:ser>
        <c:ser>
          <c:idx val="3"/>
          <c:order val="3"/>
          <c:tx>
            <c:strRef>
              <c:f>工作表1!$U$57</c:f>
              <c:strCache>
                <c:ptCount val="1"/>
                <c:pt idx="0">
                  <c:v>BH3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工作表1!$V$57:$X$57</c:f>
              <c:numCache>
                <c:formatCode>General</c:formatCode>
                <c:ptCount val="3"/>
                <c:pt idx="0">
                  <c:v>-3.8</c:v>
                </c:pt>
                <c:pt idx="1">
                  <c:v>21</c:v>
                </c:pt>
                <c:pt idx="2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3-4691-A7FB-66DFF8F45996}"/>
            </c:ext>
          </c:extLst>
        </c:ser>
        <c:ser>
          <c:idx val="4"/>
          <c:order val="4"/>
          <c:tx>
            <c:strRef>
              <c:f>工作表1!$U$58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工作表1!$V$58:$X$58</c:f>
              <c:numCache>
                <c:formatCode>General</c:formatCode>
                <c:ptCount val="3"/>
                <c:pt idx="0">
                  <c:v>-56.8</c:v>
                </c:pt>
                <c:pt idx="1">
                  <c:v>-17.8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3-4691-A7FB-66DFF8F45996}"/>
            </c:ext>
          </c:extLst>
        </c:ser>
        <c:ser>
          <c:idx val="5"/>
          <c:order val="5"/>
          <c:tx>
            <c:strRef>
              <c:f>工作表1!$U$59</c:f>
              <c:strCache>
                <c:ptCount val="1"/>
                <c:pt idx="0">
                  <c:v>NH3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工作表1!$V$59:$X$59</c:f>
              <c:numCache>
                <c:formatCode>General</c:formatCode>
                <c:ptCount val="3"/>
                <c:pt idx="0">
                  <c:v>-49.4</c:v>
                </c:pt>
                <c:pt idx="1">
                  <c:v>-11</c:v>
                </c:pt>
                <c:pt idx="2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53-4691-A7FB-66DFF8F45996}"/>
            </c:ext>
          </c:extLst>
        </c:ser>
        <c:ser>
          <c:idx val="6"/>
          <c:order val="6"/>
          <c:tx>
            <c:strRef>
              <c:f>工作表1!$U$60</c:f>
              <c:strCache>
                <c:ptCount val="1"/>
                <c:pt idx="0">
                  <c:v>H2O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工作表1!$V$60:$X$60</c:f>
              <c:numCache>
                <c:formatCode>General</c:formatCode>
                <c:ptCount val="3"/>
                <c:pt idx="0">
                  <c:v>-91.4</c:v>
                </c:pt>
                <c:pt idx="1">
                  <c:v>-57.8</c:v>
                </c:pt>
                <c:pt idx="2">
                  <c:v>33.600000000000009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3-4691-A7FB-66DFF8F45996}"/>
            </c:ext>
          </c:extLst>
        </c:ser>
        <c:ser>
          <c:idx val="7"/>
          <c:order val="7"/>
          <c:tx>
            <c:strRef>
              <c:f>工作表1!$U$61</c:f>
              <c:strCache>
                <c:ptCount val="1"/>
                <c:pt idx="0">
                  <c:v>HF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工作表1!$V$53:$X$53</c:f>
              <c:strCache>
                <c:ptCount val="3"/>
                <c:pt idx="0">
                  <c:v>CCSD(T)</c:v>
                </c:pt>
                <c:pt idx="1">
                  <c:v>exp value</c:v>
                </c:pt>
                <c:pt idx="2">
                  <c:v>error</c:v>
                </c:pt>
              </c:strCache>
            </c:strRef>
          </c:cat>
          <c:val>
            <c:numRef>
              <c:f>工作表1!$V$61:$X$61</c:f>
              <c:numCache>
                <c:formatCode>General</c:formatCode>
                <c:ptCount val="3"/>
                <c:pt idx="0">
                  <c:v>25.2</c:v>
                </c:pt>
                <c:pt idx="1">
                  <c:v>-65.3</c:v>
                </c:pt>
                <c:pt idx="2">
                  <c:v>-90.5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53-4691-A7FB-66DFF8F45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391264"/>
        <c:axId val="1094517984"/>
      </c:barChart>
      <c:catAx>
        <c:axId val="7343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94517984"/>
        <c:crosses val="autoZero"/>
        <c:auto val="1"/>
        <c:lblAlgn val="ctr"/>
        <c:lblOffset val="100"/>
        <c:noMultiLvlLbl val="0"/>
      </c:catAx>
      <c:valAx>
        <c:axId val="10945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3439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工作表2!$O$30</c:f>
              <c:strCache>
                <c:ptCount val="1"/>
                <c:pt idx="0">
                  <c:v>exp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</c:trendlineLbl>
          </c:trendline>
          <c:xVal>
            <c:numRef>
              <c:f>工作表2!$P$29:$R$29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4</c:v>
                </c:pt>
                <c:pt idx="2">
                  <c:v>2.5</c:v>
                </c:pt>
              </c:numCache>
            </c:numRef>
          </c:xVal>
          <c:yVal>
            <c:numRef>
              <c:f>工作表2!$P$30:$R$30</c:f>
              <c:numCache>
                <c:formatCode>General</c:formatCode>
                <c:ptCount val="3"/>
                <c:pt idx="0">
                  <c:v>-32.700000000000003</c:v>
                </c:pt>
                <c:pt idx="1">
                  <c:v>-33.83</c:v>
                </c:pt>
                <c:pt idx="2">
                  <c:v>-30.99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46-4469-9510-AC79C8AFD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199168"/>
        <c:axId val="515928688"/>
      </c:scatterChart>
      <c:valAx>
        <c:axId val="78619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15928688"/>
        <c:crosses val="autoZero"/>
        <c:crossBetween val="midCat"/>
      </c:valAx>
      <c:valAx>
        <c:axId val="515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8619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CD4+OH → HDO + CD3</a:t>
            </a:r>
            <a:endParaRPr lang="zh-TW" altLang="zh-TW">
              <a:effectLst/>
            </a:endParaRPr>
          </a:p>
          <a:p>
            <a:pPr>
              <a:defRPr/>
            </a:pPr>
            <a:r>
              <a:rPr lang="en-US" altLang="zh-TW" sz="1800" b="0" i="0" baseline="0">
                <a:effectLst/>
              </a:rPr>
              <a:t>MP2/aug-cc-pVTZ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工作表2!$T$37</c:f>
              <c:strCache>
                <c:ptCount val="1"/>
                <c:pt idx="0">
                  <c:v>exp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工作表2!$U$36:$W$36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工作表2!$U$37:$W$37</c:f>
              <c:numCache>
                <c:formatCode>General</c:formatCode>
                <c:ptCount val="3"/>
                <c:pt idx="0">
                  <c:v>-32.700000000000003</c:v>
                </c:pt>
                <c:pt idx="1">
                  <c:v>-33.08</c:v>
                </c:pt>
                <c:pt idx="2">
                  <c:v>-31.25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38-4342-A044-4AFC89001EF6}"/>
            </c:ext>
          </c:extLst>
        </c:ser>
        <c:ser>
          <c:idx val="1"/>
          <c:order val="1"/>
          <c:tx>
            <c:strRef>
              <c:f>工作表2!$T$38</c:f>
              <c:strCache>
                <c:ptCount val="1"/>
                <c:pt idx="0">
                  <c:v>calculated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工作表2!$U$36:$W$36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工作表2!$U$38:$W$38</c:f>
              <c:numCache>
                <c:formatCode>General</c:formatCode>
                <c:ptCount val="3"/>
                <c:pt idx="0">
                  <c:v>-34.090000000000003</c:v>
                </c:pt>
                <c:pt idx="1">
                  <c:v>-35.18</c:v>
                </c:pt>
                <c:pt idx="2">
                  <c:v>-32.1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38-4342-A044-4AFC89001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650384"/>
        <c:axId val="527041104"/>
      </c:scatterChart>
      <c:valAx>
        <c:axId val="78965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1000/T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7041104"/>
        <c:crosses val="autoZero"/>
        <c:crossBetween val="midCat"/>
      </c:valAx>
      <c:valAx>
        <c:axId val="5270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89650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</c:trendlineLbl>
          </c:trendline>
          <c:xVal>
            <c:numRef>
              <c:f>工作表2!$S$4:$U$4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4</c:v>
                </c:pt>
                <c:pt idx="2">
                  <c:v>2.5</c:v>
                </c:pt>
              </c:numCache>
            </c:numRef>
          </c:xVal>
          <c:yVal>
            <c:numRef>
              <c:f>工作表2!$S$6:$U$6</c:f>
              <c:numCache>
                <c:formatCode>General</c:formatCode>
                <c:ptCount val="3"/>
                <c:pt idx="0">
                  <c:v>-32.700000000000003</c:v>
                </c:pt>
                <c:pt idx="1">
                  <c:v>-33.83</c:v>
                </c:pt>
                <c:pt idx="2">
                  <c:v>-30.99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A-4E4C-BC41-5AAC3D4A7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812400"/>
        <c:axId val="2038185408"/>
      </c:scatterChart>
      <c:valAx>
        <c:axId val="78981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38185408"/>
        <c:crosses val="autoZero"/>
        <c:crossBetween val="midCat"/>
      </c:valAx>
      <c:valAx>
        <c:axId val="203818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89812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CH4 +OH․→ H2O + CH3․</a:t>
            </a:r>
            <a:endParaRPr lang="zh-TW" altLang="zh-TW">
              <a:effectLst/>
            </a:endParaRPr>
          </a:p>
          <a:p>
            <a:pPr>
              <a:defRPr/>
            </a:pPr>
            <a:r>
              <a:rPr lang="en-US" altLang="zh-TW" sz="1800" b="0" i="0" baseline="0">
                <a:effectLst/>
              </a:rPr>
              <a:t>MP2/aug-cc-pVTZ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工作表2!$H$31</c:f>
              <c:strCache>
                <c:ptCount val="1"/>
                <c:pt idx="0">
                  <c:v>calculated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工作表2!$I$30:$K$30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工作表2!$I$31:$K$31</c:f>
              <c:numCache>
                <c:formatCode>General</c:formatCode>
                <c:ptCount val="3"/>
                <c:pt idx="0">
                  <c:v>-34.090000000000003</c:v>
                </c:pt>
                <c:pt idx="1">
                  <c:v>-35.18</c:v>
                </c:pt>
                <c:pt idx="2">
                  <c:v>-32.1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5-4151-BF48-1B6AB62810F8}"/>
            </c:ext>
          </c:extLst>
        </c:ser>
        <c:ser>
          <c:idx val="1"/>
          <c:order val="1"/>
          <c:tx>
            <c:strRef>
              <c:f>工作表2!$H$32</c:f>
              <c:strCache>
                <c:ptCount val="1"/>
                <c:pt idx="0">
                  <c:v>exp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工作表2!$I$30:$K$30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工作表2!$I$32:$K$32</c:f>
              <c:numCache>
                <c:formatCode>General</c:formatCode>
                <c:ptCount val="3"/>
                <c:pt idx="0">
                  <c:v>-32.700000000000003</c:v>
                </c:pt>
                <c:pt idx="1">
                  <c:v>-33.08</c:v>
                </c:pt>
                <c:pt idx="2">
                  <c:v>-31.25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85-4151-BF48-1B6AB6281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36592"/>
        <c:axId val="2036701248"/>
      </c:scatterChart>
      <c:valAx>
        <c:axId val="79763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1000/T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36701248"/>
        <c:crosses val="autoZero"/>
        <c:crossBetween val="midCat"/>
      </c:valAx>
      <c:valAx>
        <c:axId val="20367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97636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CH4 +OH․→ H2O + CH3․</a:t>
            </a:r>
            <a:endParaRPr lang="zh-TW" altLang="zh-TW">
              <a:effectLst/>
            </a:endParaRPr>
          </a:p>
          <a:p>
            <a:pPr>
              <a:defRPr/>
            </a:pPr>
            <a:r>
              <a:rPr lang="en-US" altLang="zh-TW" sz="1800" b="0" i="0" baseline="0">
                <a:effectLst/>
              </a:rPr>
              <a:t>MP2/6-31+G**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工作表2!$H$26</c:f>
              <c:strCache>
                <c:ptCount val="1"/>
                <c:pt idx="0">
                  <c:v>calculated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AB-4F90-A256-82333885749A}"/>
                </c:ext>
              </c:extLst>
            </c:dLbl>
            <c:dLbl>
              <c:idx val="1"/>
              <c:layout>
                <c:manualLayout>
                  <c:x val="1.3888888888888888E-2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AB-4F90-A256-823338857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工作表2!$I$25:$K$25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工作表2!$I$26:$K$26</c:f>
              <c:numCache>
                <c:formatCode>General</c:formatCode>
                <c:ptCount val="3"/>
                <c:pt idx="0">
                  <c:v>-38.22</c:v>
                </c:pt>
                <c:pt idx="1">
                  <c:v>-38.130000000000003</c:v>
                </c:pt>
                <c:pt idx="2">
                  <c:v>-34.520000000000003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AB-4F90-A256-82333885749A}"/>
            </c:ext>
          </c:extLst>
        </c:ser>
        <c:ser>
          <c:idx val="1"/>
          <c:order val="1"/>
          <c:tx>
            <c:strRef>
              <c:f>工作表2!$H$27</c:f>
              <c:strCache>
                <c:ptCount val="1"/>
                <c:pt idx="0">
                  <c:v>exp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333333333333334E-2"/>
                  <c:y val="-6.4814814814814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B-4F90-A256-82333885749A}"/>
                </c:ext>
              </c:extLst>
            </c:dLbl>
            <c:dLbl>
              <c:idx val="1"/>
              <c:layout>
                <c:manualLayout>
                  <c:x val="-2.777777777777676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AB-4F90-A256-823338857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工作表2!$I$25:$K$25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工作表2!$I$27:$K$27</c:f>
              <c:numCache>
                <c:formatCode>General</c:formatCode>
                <c:ptCount val="3"/>
                <c:pt idx="0">
                  <c:v>-32.700000000000003</c:v>
                </c:pt>
                <c:pt idx="1">
                  <c:v>-33.08</c:v>
                </c:pt>
                <c:pt idx="2">
                  <c:v>-31.25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AB-4F90-A256-82333885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822288"/>
        <c:axId val="516102432"/>
      </c:scatterChart>
      <c:valAx>
        <c:axId val="85782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1000/T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16102432"/>
        <c:crosses val="autoZero"/>
        <c:crossBetween val="midCat"/>
      </c:valAx>
      <c:valAx>
        <c:axId val="5161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57822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CD4+OH → HDO + CD3</a:t>
            </a:r>
            <a:endParaRPr lang="zh-TW" altLang="zh-TW">
              <a:effectLst/>
            </a:endParaRPr>
          </a:p>
          <a:p>
            <a:pPr>
              <a:defRPr/>
            </a:pPr>
            <a:r>
              <a:rPr lang="en-US" altLang="zh-TW" sz="1800" b="0" i="0" baseline="0">
                <a:effectLst/>
              </a:rPr>
              <a:t>MP2/6-31+G**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工作表2!$E$54</c:f>
              <c:strCache>
                <c:ptCount val="1"/>
                <c:pt idx="0">
                  <c:v>calculated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工作表2!$F$53:$H$53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工作表2!$F$54:$H$54</c:f>
              <c:numCache>
                <c:formatCode>General</c:formatCode>
                <c:ptCount val="3"/>
                <c:pt idx="0">
                  <c:v>-39.159999999999997</c:v>
                </c:pt>
                <c:pt idx="1">
                  <c:v>-40.520000000000003</c:v>
                </c:pt>
                <c:pt idx="2">
                  <c:v>-36.14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14-46C5-A65B-41932C305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117504"/>
        <c:axId val="652395216"/>
      </c:scatterChart>
      <c:valAx>
        <c:axId val="79811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1000/T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52395216"/>
        <c:crosses val="autoZero"/>
        <c:crossBetween val="midCat"/>
      </c:valAx>
      <c:valAx>
        <c:axId val="65239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9811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CD4+OH → HDO + CD3</a:t>
            </a:r>
            <a:endParaRPr lang="zh-TW" altLang="zh-TW">
              <a:effectLst/>
            </a:endParaRPr>
          </a:p>
          <a:p>
            <a:pPr>
              <a:defRPr/>
            </a:pPr>
            <a:r>
              <a:rPr lang="en-US" altLang="zh-TW" sz="1800" b="0" i="0" baseline="0">
                <a:effectLst/>
              </a:rPr>
              <a:t>MP2/aug-cc-pVTZ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工作表2!$E$58</c:f>
              <c:strCache>
                <c:ptCount val="1"/>
                <c:pt idx="0">
                  <c:v>calculated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工作表2!$F$57:$H$57</c:f>
              <c:numCache>
                <c:formatCode>General</c:formatCode>
                <c:ptCount val="3"/>
                <c:pt idx="0">
                  <c:v>3.5539999999999998</c:v>
                </c:pt>
                <c:pt idx="1">
                  <c:v>3.661</c:v>
                </c:pt>
                <c:pt idx="2">
                  <c:v>2.67</c:v>
                </c:pt>
              </c:numCache>
            </c:numRef>
          </c:xVal>
          <c:yVal>
            <c:numRef>
              <c:f>工作表2!$F$58:$H$58</c:f>
              <c:numCache>
                <c:formatCode>General</c:formatCode>
                <c:ptCount val="3"/>
                <c:pt idx="0">
                  <c:v>-34.090000000000003</c:v>
                </c:pt>
                <c:pt idx="1">
                  <c:v>-35.18</c:v>
                </c:pt>
                <c:pt idx="2">
                  <c:v>-32.1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17-4768-B7CE-2B549067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881376"/>
        <c:axId val="790097440"/>
      </c:scatterChart>
      <c:valAx>
        <c:axId val="80388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1000/T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90097440"/>
        <c:crosses val="autoZero"/>
        <c:crossBetween val="midCat"/>
      </c:valAx>
      <c:valAx>
        <c:axId val="7900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03881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工作表1!$A$27</c:f>
              <c:strCache>
                <c:ptCount val="1"/>
                <c:pt idx="0">
                  <c:v>LiH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工作表1!$B$27:$F$27</c:f>
              <c:numCache>
                <c:formatCode>General</c:formatCode>
                <c:ptCount val="5"/>
                <c:pt idx="0">
                  <c:v>45.2</c:v>
                </c:pt>
                <c:pt idx="1">
                  <c:v>51.8</c:v>
                </c:pt>
                <c:pt idx="2">
                  <c:v>57.2</c:v>
                </c:pt>
                <c:pt idx="3">
                  <c:v>58.5</c:v>
                </c:pt>
                <c:pt idx="4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2-417E-9BE5-72138F1F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487696"/>
        <c:axId val="1203742688"/>
      </c:barChart>
      <c:catAx>
        <c:axId val="11284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3742688"/>
        <c:crosses val="autoZero"/>
        <c:auto val="1"/>
        <c:lblAlgn val="ctr"/>
        <c:lblOffset val="100"/>
        <c:noMultiLvlLbl val="0"/>
      </c:catAx>
      <c:valAx>
        <c:axId val="120374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8487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工作表1!$A$28</c:f>
              <c:strCache>
                <c:ptCount val="1"/>
                <c:pt idx="0">
                  <c:v>BeH2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工作表1!$B$28:$F$28</c:f>
              <c:numCache>
                <c:formatCode>General</c:formatCode>
                <c:ptCount val="5"/>
                <c:pt idx="0">
                  <c:v>141</c:v>
                </c:pt>
                <c:pt idx="1">
                  <c:v>146</c:v>
                </c:pt>
                <c:pt idx="2">
                  <c:v>155.69999999999999</c:v>
                </c:pt>
                <c:pt idx="3">
                  <c:v>155.30000000000001</c:v>
                </c:pt>
                <c:pt idx="4">
                  <c:v>151.6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F-4266-B2BE-47233FEC5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544880"/>
        <c:axId val="1016916848"/>
      </c:barChart>
      <c:catAx>
        <c:axId val="11225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16916848"/>
        <c:crosses val="autoZero"/>
        <c:auto val="1"/>
        <c:lblAlgn val="ctr"/>
        <c:lblOffset val="100"/>
        <c:noMultiLvlLbl val="0"/>
      </c:catAx>
      <c:valAx>
        <c:axId val="101691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2544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工作表1!$A$29</c:f>
              <c:strCache>
                <c:ptCount val="1"/>
                <c:pt idx="0">
                  <c:v>BH3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工作表1!$B$29:$F$29</c:f>
              <c:numCache>
                <c:formatCode>General</c:formatCode>
                <c:ptCount val="5"/>
                <c:pt idx="0">
                  <c:v>269.5</c:v>
                </c:pt>
                <c:pt idx="1">
                  <c:v>275.5</c:v>
                </c:pt>
                <c:pt idx="2">
                  <c:v>286.7</c:v>
                </c:pt>
                <c:pt idx="3">
                  <c:v>284.7</c:v>
                </c:pt>
                <c:pt idx="4">
                  <c:v>270.3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0-47B8-AB3C-5A9EF036B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5645472"/>
        <c:axId val="1199498432"/>
      </c:barChart>
      <c:catAx>
        <c:axId val="112564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99498432"/>
        <c:crosses val="autoZero"/>
        <c:auto val="1"/>
        <c:lblAlgn val="ctr"/>
        <c:lblOffset val="100"/>
        <c:noMultiLvlLbl val="0"/>
      </c:catAx>
      <c:valAx>
        <c:axId val="11994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5645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工作表1!$A$30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工作表1!$B$30:$F$30</c:f>
              <c:numCache>
                <c:formatCode>General</c:formatCode>
                <c:ptCount val="5"/>
                <c:pt idx="0">
                  <c:v>399.4</c:v>
                </c:pt>
                <c:pt idx="1">
                  <c:v>411.4</c:v>
                </c:pt>
                <c:pt idx="2">
                  <c:v>422.8</c:v>
                </c:pt>
                <c:pt idx="3">
                  <c:v>420.6</c:v>
                </c:pt>
                <c:pt idx="4">
                  <c:v>397.5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2-40CC-A367-5EF429EBB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5634272"/>
        <c:axId val="1016921008"/>
      </c:barChart>
      <c:catAx>
        <c:axId val="11256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16921008"/>
        <c:crosses val="autoZero"/>
        <c:auto val="1"/>
        <c:lblAlgn val="ctr"/>
        <c:lblOffset val="100"/>
        <c:noMultiLvlLbl val="0"/>
      </c:catAx>
      <c:valAx>
        <c:axId val="10169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5634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工作表1!$A$31</c:f>
              <c:strCache>
                <c:ptCount val="1"/>
                <c:pt idx="0">
                  <c:v>NH3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274.89999999999998</c:v>
                </c:pt>
                <c:pt idx="1">
                  <c:v>290.2</c:v>
                </c:pt>
                <c:pt idx="2">
                  <c:v>300.2</c:v>
                </c:pt>
                <c:pt idx="3">
                  <c:v>300.7</c:v>
                </c:pt>
                <c:pt idx="4">
                  <c:v>280.3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3-47F2-BE7C-EAB676A8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4661888"/>
        <c:axId val="1199418656"/>
      </c:barChart>
      <c:catAx>
        <c:axId val="12046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99418656"/>
        <c:crosses val="autoZero"/>
        <c:auto val="1"/>
        <c:lblAlgn val="ctr"/>
        <c:lblOffset val="100"/>
        <c:noMultiLvlLbl val="0"/>
      </c:catAx>
      <c:valAx>
        <c:axId val="119941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4661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工作表1!$A$32</c:f>
              <c:strCache>
                <c:ptCount val="1"/>
                <c:pt idx="0">
                  <c:v>H2O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工作表1!$B$32:$F$32</c:f>
              <c:numCache>
                <c:formatCode>General</c:formatCode>
                <c:ptCount val="5"/>
                <c:pt idx="0">
                  <c:v>220.5</c:v>
                </c:pt>
                <c:pt idx="1">
                  <c:v>232.2</c:v>
                </c:pt>
                <c:pt idx="2">
                  <c:v>229.6</c:v>
                </c:pt>
                <c:pt idx="3">
                  <c:v>230.6</c:v>
                </c:pt>
                <c:pt idx="4">
                  <c:v>221.6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0-4D70-B923-EB5FD9E57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4724624"/>
        <c:axId val="1205762656"/>
      </c:barChart>
      <c:catAx>
        <c:axId val="120472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5762656"/>
        <c:crosses val="autoZero"/>
        <c:auto val="1"/>
        <c:lblAlgn val="ctr"/>
        <c:lblOffset val="100"/>
        <c:noMultiLvlLbl val="0"/>
      </c:catAx>
      <c:valAx>
        <c:axId val="120576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4724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工作表1!$A$33</c:f>
              <c:strCache>
                <c:ptCount val="1"/>
                <c:pt idx="0">
                  <c:v>HF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工作表1!$B$25:$F$25</c:f>
              <c:strCache>
                <c:ptCount val="5"/>
                <c:pt idx="0">
                  <c:v>MP2/6-31+G(d,p)</c:v>
                </c:pt>
                <c:pt idx="1">
                  <c:v>MP2/aug-cc-pVTZ</c:v>
                </c:pt>
                <c:pt idx="2">
                  <c:v>B3LYP/6-31+G(d,p)</c:v>
                </c:pt>
                <c:pt idx="3">
                  <c:v>B3LYP/aug-cc-pVTZ</c:v>
                </c:pt>
                <c:pt idx="4">
                  <c:v>exp. value</c:v>
                </c:pt>
              </c:strCache>
            </c:strRef>
          </c:cat>
          <c:val>
            <c:numRef>
              <c:f>工作表1!$B$33:$F$33</c:f>
              <c:numCache>
                <c:formatCode>General</c:formatCode>
                <c:ptCount val="5"/>
                <c:pt idx="0">
                  <c:v>137.30000000000001</c:v>
                </c:pt>
                <c:pt idx="1">
                  <c:v>143.69999999999999</c:v>
                </c:pt>
                <c:pt idx="2">
                  <c:v>138.4</c:v>
                </c:pt>
                <c:pt idx="3">
                  <c:v>139.1</c:v>
                </c:pt>
                <c:pt idx="4">
                  <c:v>136.4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3-4DD2-9E73-CD3136DCD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9051232"/>
        <c:axId val="1199410336"/>
      </c:barChart>
      <c:catAx>
        <c:axId val="12090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99410336"/>
        <c:crosses val="autoZero"/>
        <c:auto val="1"/>
        <c:lblAlgn val="ctr"/>
        <c:lblOffset val="100"/>
        <c:noMultiLvlLbl val="0"/>
      </c:catAx>
      <c:valAx>
        <c:axId val="11994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905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鍵長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工作表1!$K$53</c:f>
              <c:strCache>
                <c:ptCount val="1"/>
                <c:pt idx="0">
                  <c:v>bond length(Å)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工作表1!$J$54:$J$61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工作表1!$K$54:$K$61</c:f>
              <c:numCache>
                <c:formatCode>General</c:formatCode>
                <c:ptCount val="8"/>
                <c:pt idx="0">
                  <c:v>0.74299999999999999</c:v>
                </c:pt>
                <c:pt idx="1">
                  <c:v>1.6140000000000001</c:v>
                </c:pt>
                <c:pt idx="2">
                  <c:v>1.331</c:v>
                </c:pt>
                <c:pt idx="3">
                  <c:v>1.1930000000000001</c:v>
                </c:pt>
                <c:pt idx="4">
                  <c:v>1.093</c:v>
                </c:pt>
                <c:pt idx="5">
                  <c:v>1.016</c:v>
                </c:pt>
                <c:pt idx="6">
                  <c:v>0.96499999999999997</c:v>
                </c:pt>
                <c:pt idx="7">
                  <c:v>0.92800000000000005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4-4FF4-A7DF-4DEDABBC72D7}"/>
            </c:ext>
          </c:extLst>
        </c:ser>
        <c:ser>
          <c:idx val="1"/>
          <c:order val="1"/>
          <c:tx>
            <c:strRef>
              <c:f>工作表1!$L$53</c:f>
              <c:strCache>
                <c:ptCount val="1"/>
                <c:pt idx="0">
                  <c:v>exp(Å)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工作表1!$J$54:$J$61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工作表1!$L$54:$L$61</c:f>
              <c:numCache>
                <c:formatCode>General</c:formatCode>
                <c:ptCount val="8"/>
                <c:pt idx="0">
                  <c:v>0.74099999999999999</c:v>
                </c:pt>
                <c:pt idx="1">
                  <c:v>1.595</c:v>
                </c:pt>
                <c:pt idx="2">
                  <c:v>1.3260000000000001</c:v>
                </c:pt>
                <c:pt idx="3">
                  <c:v>1.19</c:v>
                </c:pt>
                <c:pt idx="4">
                  <c:v>1.087</c:v>
                </c:pt>
                <c:pt idx="5">
                  <c:v>1.012</c:v>
                </c:pt>
                <c:pt idx="6">
                  <c:v>0.95799999999999996</c:v>
                </c:pt>
                <c:pt idx="7">
                  <c:v>0.91700000000000004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4-4FF4-A7DF-4DEDABBC7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4575520"/>
        <c:axId val="738286336"/>
      </c:barChart>
      <c:catAx>
        <c:axId val="109457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38286336"/>
        <c:crosses val="autoZero"/>
        <c:auto val="1"/>
        <c:lblAlgn val="ctr"/>
        <c:lblOffset val="100"/>
        <c:noMultiLvlLbl val="0"/>
      </c:catAx>
      <c:valAx>
        <c:axId val="7382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9457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24</xdr:row>
      <xdr:rowOff>133350</xdr:rowOff>
    </xdr:from>
    <xdr:to>
      <xdr:col>13</xdr:col>
      <xdr:colOff>542925</xdr:colOff>
      <xdr:row>37</xdr:row>
      <xdr:rowOff>152400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58B981B-5B48-4E50-8AFF-117D63E56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24</xdr:row>
      <xdr:rowOff>104775</xdr:rowOff>
    </xdr:from>
    <xdr:to>
      <xdr:col>20</xdr:col>
      <xdr:colOff>228600</xdr:colOff>
      <xdr:row>37</xdr:row>
      <xdr:rowOff>123825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CBA56DD8-8186-43E8-A691-25C4935E9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533400</xdr:colOff>
      <xdr:row>8</xdr:row>
      <xdr:rowOff>161925</xdr:rowOff>
    </xdr:from>
    <xdr:to>
      <xdr:col>23</xdr:col>
      <xdr:colOff>57150</xdr:colOff>
      <xdr:row>21</xdr:row>
      <xdr:rowOff>180975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E6C843AD-62BF-4579-986C-B4AF6BED9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200025</xdr:colOff>
      <xdr:row>23</xdr:row>
      <xdr:rowOff>114300</xdr:rowOff>
    </xdr:from>
    <xdr:to>
      <xdr:col>27</xdr:col>
      <xdr:colOff>657225</xdr:colOff>
      <xdr:row>36</xdr:row>
      <xdr:rowOff>133350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BA9BB6BF-2186-40E5-AB0D-5C2B16F85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247650</xdr:colOff>
      <xdr:row>38</xdr:row>
      <xdr:rowOff>19050</xdr:rowOff>
    </xdr:from>
    <xdr:to>
      <xdr:col>13</xdr:col>
      <xdr:colOff>590550</xdr:colOff>
      <xdr:row>51</xdr:row>
      <xdr:rowOff>38100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53E0E082-02C6-44E4-AECB-093667030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152400</xdr:colOff>
      <xdr:row>38</xdr:row>
      <xdr:rowOff>19050</xdr:rowOff>
    </xdr:from>
    <xdr:to>
      <xdr:col>20</xdr:col>
      <xdr:colOff>361950</xdr:colOff>
      <xdr:row>51</xdr:row>
      <xdr:rowOff>38100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1EE7D992-0961-4155-BB75-1E0959C53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161925</xdr:colOff>
      <xdr:row>37</xdr:row>
      <xdr:rowOff>180975</xdr:rowOff>
    </xdr:from>
    <xdr:to>
      <xdr:col>27</xdr:col>
      <xdr:colOff>619125</xdr:colOff>
      <xdr:row>50</xdr:row>
      <xdr:rowOff>200025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B4F6A95E-67BB-4C2C-B0E2-F74A8A695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285750</xdr:colOff>
      <xdr:row>37</xdr:row>
      <xdr:rowOff>28575</xdr:rowOff>
    </xdr:from>
    <xdr:to>
      <xdr:col>7</xdr:col>
      <xdr:colOff>800100</xdr:colOff>
      <xdr:row>50</xdr:row>
      <xdr:rowOff>47625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C61F43D7-1ACF-4D0F-A777-661FD4207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904875</xdr:colOff>
      <xdr:row>64</xdr:row>
      <xdr:rowOff>66675</xdr:rowOff>
    </xdr:from>
    <xdr:to>
      <xdr:col>9</xdr:col>
      <xdr:colOff>542925</xdr:colOff>
      <xdr:row>77</xdr:row>
      <xdr:rowOff>85725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81303034-BC56-46E1-BA2F-B4558C4A9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638175</xdr:colOff>
      <xdr:row>63</xdr:row>
      <xdr:rowOff>171450</xdr:rowOff>
    </xdr:from>
    <xdr:to>
      <xdr:col>22</xdr:col>
      <xdr:colOff>47625</xdr:colOff>
      <xdr:row>76</xdr:row>
      <xdr:rowOff>152400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53EE2419-5B6B-411A-A99D-8944FC47E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674077</xdr:colOff>
      <xdr:row>10</xdr:row>
      <xdr:rowOff>108438</xdr:rowOff>
    </xdr:from>
    <xdr:to>
      <xdr:col>21</xdr:col>
      <xdr:colOff>424962</xdr:colOff>
      <xdr:row>23</xdr:row>
      <xdr:rowOff>89388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A6F54B37-5D16-4405-8EF6-301A37597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512886</xdr:colOff>
      <xdr:row>39</xdr:row>
      <xdr:rowOff>123093</xdr:rowOff>
    </xdr:from>
    <xdr:to>
      <xdr:col>24</xdr:col>
      <xdr:colOff>263770</xdr:colOff>
      <xdr:row>52</xdr:row>
      <xdr:rowOff>104043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78C7D025-F8A1-431A-93F1-3856B600C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190500</xdr:colOff>
      <xdr:row>10</xdr:row>
      <xdr:rowOff>152399</xdr:rowOff>
    </xdr:from>
    <xdr:to>
      <xdr:col>12</xdr:col>
      <xdr:colOff>527539</xdr:colOff>
      <xdr:row>23</xdr:row>
      <xdr:rowOff>133349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BFF80E10-FEC2-4F40-A4E2-705C01916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205155</xdr:colOff>
      <xdr:row>36</xdr:row>
      <xdr:rowOff>181707</xdr:rowOff>
    </xdr:from>
    <xdr:to>
      <xdr:col>11</xdr:col>
      <xdr:colOff>417635</xdr:colOff>
      <xdr:row>49</xdr:row>
      <xdr:rowOff>162657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36D54FB8-7F3A-4F9F-A5B9-BE460AF72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212481</xdr:colOff>
      <xdr:row>32</xdr:row>
      <xdr:rowOff>71802</xdr:rowOff>
    </xdr:from>
    <xdr:to>
      <xdr:col>6</xdr:col>
      <xdr:colOff>153866</xdr:colOff>
      <xdr:row>45</xdr:row>
      <xdr:rowOff>52752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EBDE3BA3-7B69-4F42-8CAE-B5DFD16EF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7328</xdr:colOff>
      <xdr:row>41</xdr:row>
      <xdr:rowOff>189034</xdr:rowOff>
    </xdr:from>
    <xdr:to>
      <xdr:col>17</xdr:col>
      <xdr:colOff>359020</xdr:colOff>
      <xdr:row>54</xdr:row>
      <xdr:rowOff>169984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8C92374-86AD-43D7-9C3C-8AA75DE06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688730</xdr:colOff>
      <xdr:row>55</xdr:row>
      <xdr:rowOff>196361</xdr:rowOff>
    </xdr:from>
    <xdr:to>
      <xdr:col>17</xdr:col>
      <xdr:colOff>351692</xdr:colOff>
      <xdr:row>68</xdr:row>
      <xdr:rowOff>177311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46DBCBA5-BF29-4614-BF8C-80B29CD77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9699-6E4F-4AD8-910A-DE2DD1211306}">
  <dimension ref="A1:Z72"/>
  <sheetViews>
    <sheetView workbookViewId="0">
      <selection activeCell="U53" sqref="U53:W61"/>
    </sheetView>
  </sheetViews>
  <sheetFormatPr defaultRowHeight="16.2" x14ac:dyDescent="0.3"/>
  <cols>
    <col min="1" max="1" width="16.77734375" customWidth="1"/>
    <col min="2" max="2" width="15.77734375" customWidth="1"/>
    <col min="3" max="3" width="15.88671875" customWidth="1"/>
    <col min="4" max="4" width="17.33203125" customWidth="1"/>
    <col min="5" max="5" width="17.88671875" customWidth="1"/>
    <col min="8" max="8" width="17.6640625" customWidth="1"/>
    <col min="9" max="9" width="11.21875" customWidth="1"/>
    <col min="10" max="10" width="11.77734375" bestFit="1" customWidth="1"/>
    <col min="11" max="11" width="12.88671875" bestFit="1" customWidth="1"/>
    <col min="12" max="12" width="9.44140625" customWidth="1"/>
    <col min="13" max="13" width="19.33203125" customWidth="1"/>
    <col min="14" max="14" width="16" customWidth="1"/>
    <col min="17" max="18" width="10.6640625" bestFit="1" customWidth="1"/>
    <col min="19" max="19" width="10.44140625" bestFit="1" customWidth="1"/>
    <col min="25" max="25" width="10.21875" customWidth="1"/>
  </cols>
  <sheetData>
    <row r="1" spans="1:26" x14ac:dyDescent="0.3">
      <c r="A1" t="s">
        <v>0</v>
      </c>
      <c r="B1" t="s">
        <v>9</v>
      </c>
      <c r="C1" t="s">
        <v>10</v>
      </c>
      <c r="D1" t="s">
        <v>15</v>
      </c>
      <c r="E1" t="s">
        <v>11</v>
      </c>
      <c r="H1" t="s">
        <v>12</v>
      </c>
      <c r="I1" t="s">
        <v>9</v>
      </c>
      <c r="J1" t="s">
        <v>10</v>
      </c>
      <c r="K1" t="s">
        <v>15</v>
      </c>
      <c r="L1" t="s">
        <v>11</v>
      </c>
    </row>
    <row r="2" spans="1:26" x14ac:dyDescent="0.3">
      <c r="A2" t="s">
        <v>1</v>
      </c>
      <c r="B2" s="1">
        <f>-0.49823291*2</f>
        <v>-0.99646581999999995</v>
      </c>
      <c r="C2" s="1">
        <v>0</v>
      </c>
      <c r="D2" s="1">
        <v>-1.1576611000000001</v>
      </c>
      <c r="E2" s="2">
        <f>(B2+C2-D2)*627.5095</f>
        <v>101.15156955516011</v>
      </c>
      <c r="H2" t="s">
        <v>1</v>
      </c>
      <c r="I2" s="1">
        <f>-0.49982118*2</f>
        <v>-0.99964235999999995</v>
      </c>
      <c r="J2">
        <v>0</v>
      </c>
      <c r="K2" s="1">
        <v>-1.1650231</v>
      </c>
      <c r="L2" s="2">
        <f>(I2+J2-K2)*627.5095</f>
        <v>103.77798546703002</v>
      </c>
    </row>
    <row r="3" spans="1:26" x14ac:dyDescent="0.3">
      <c r="A3" t="s">
        <v>2</v>
      </c>
      <c r="B3" s="1">
        <v>-0.49823290999999997</v>
      </c>
      <c r="C3" s="1">
        <v>-7.4315631</v>
      </c>
      <c r="D3" s="1">
        <v>-8.0018068000000007</v>
      </c>
      <c r="E3" s="2">
        <f t="shared" ref="E3:E9" si="0">(B3+C3-D3)*627.5095</f>
        <v>45.18745482750569</v>
      </c>
      <c r="H3" t="s">
        <v>2</v>
      </c>
      <c r="I3" s="1">
        <v>-0.49982117999999998</v>
      </c>
      <c r="J3">
        <v>-7.4327053000000003</v>
      </c>
      <c r="K3" s="1">
        <v>-8.0150132000000003</v>
      </c>
      <c r="L3" s="2">
        <f t="shared" ref="L3:L8" si="1">(I3+J3-K3)*627.5095</f>
        <v>51.761200423840215</v>
      </c>
      <c r="Y3" t="s">
        <v>16</v>
      </c>
      <c r="Z3" t="s">
        <v>19</v>
      </c>
    </row>
    <row r="4" spans="1:26" x14ac:dyDescent="0.3">
      <c r="A4" t="s">
        <v>3</v>
      </c>
      <c r="B4" s="1">
        <f>-0.49823291*2</f>
        <v>-0.99646581999999995</v>
      </c>
      <c r="C4" s="1">
        <v>-14.595582</v>
      </c>
      <c r="D4" s="1">
        <v>-15.816681000000001</v>
      </c>
      <c r="E4" s="2">
        <f t="shared" si="0"/>
        <v>140.95945446521091</v>
      </c>
      <c r="H4" t="s">
        <v>3</v>
      </c>
      <c r="I4" s="1">
        <f>-0.49982118*2</f>
        <v>-0.99964235999999995</v>
      </c>
      <c r="J4">
        <v>-14.601184999999999</v>
      </c>
      <c r="K4" s="1">
        <v>-15.833467000000001</v>
      </c>
      <c r="L4" s="2">
        <f t="shared" si="1"/>
        <v>145.98358417658136</v>
      </c>
      <c r="Y4" t="s">
        <v>1</v>
      </c>
      <c r="Z4">
        <v>104.2</v>
      </c>
    </row>
    <row r="5" spans="1:26" x14ac:dyDescent="0.3">
      <c r="A5" t="s">
        <v>4</v>
      </c>
      <c r="B5" s="1">
        <f>-0.49823291*3</f>
        <v>-1.4946987299999999</v>
      </c>
      <c r="C5" s="1">
        <v>-24.563106000000001</v>
      </c>
      <c r="D5" s="1">
        <v>-26.487234000000001</v>
      </c>
      <c r="E5" s="2">
        <f t="shared" si="0"/>
        <v>269.47094650306497</v>
      </c>
      <c r="H5" t="s">
        <v>4</v>
      </c>
      <c r="I5" s="1">
        <f>-0.49982118*3</f>
        <v>-1.4994635399999998</v>
      </c>
      <c r="J5">
        <v>-24.576577</v>
      </c>
      <c r="K5" s="1">
        <v>-26.515014999999998</v>
      </c>
      <c r="L5" s="2">
        <f t="shared" si="1"/>
        <v>275.46064390736825</v>
      </c>
      <c r="Y5" t="s">
        <v>2</v>
      </c>
      <c r="Z5">
        <v>56.6</v>
      </c>
    </row>
    <row r="6" spans="1:26" x14ac:dyDescent="0.3">
      <c r="A6" t="s">
        <v>5</v>
      </c>
      <c r="B6" s="1">
        <f>-0.49823291*4</f>
        <v>-1.9929316399999999</v>
      </c>
      <c r="C6" s="1">
        <v>-37.736612000000001</v>
      </c>
      <c r="D6" s="1">
        <v>-40.365952</v>
      </c>
      <c r="E6" s="2">
        <f t="shared" si="0"/>
        <v>399.35229177941824</v>
      </c>
      <c r="H6" t="s">
        <v>5</v>
      </c>
      <c r="I6" s="1">
        <f>-0.49982118*4</f>
        <v>-1.9992847199999999</v>
      </c>
      <c r="J6">
        <v>-37.759560999999998</v>
      </c>
      <c r="K6" s="1">
        <v>-40.414459000000001</v>
      </c>
      <c r="L6" s="2">
        <f t="shared" si="1"/>
        <v>411.40356152616272</v>
      </c>
      <c r="Y6" t="s">
        <v>3</v>
      </c>
      <c r="Z6">
        <v>151.6</v>
      </c>
    </row>
    <row r="7" spans="1:26" x14ac:dyDescent="0.3">
      <c r="A7" t="s">
        <v>6</v>
      </c>
      <c r="B7" s="1">
        <f>-0.49823291*3</f>
        <v>-1.4946987299999999</v>
      </c>
      <c r="C7" s="1">
        <v>-54.459200000000003</v>
      </c>
      <c r="D7" s="1">
        <v>-56.392046000000001</v>
      </c>
      <c r="E7" s="2">
        <f t="shared" si="0"/>
        <v>274.94157432406166</v>
      </c>
      <c r="H7" t="s">
        <v>6</v>
      </c>
      <c r="I7" s="1">
        <f>-0.49982118*3</f>
        <v>-1.4994635399999998</v>
      </c>
      <c r="J7">
        <v>-54.498646999999998</v>
      </c>
      <c r="K7" s="1">
        <v>-56.460540000000002</v>
      </c>
      <c r="L7" s="2">
        <f t="shared" si="1"/>
        <v>290.17887922987171</v>
      </c>
      <c r="Y7" t="s">
        <v>4</v>
      </c>
      <c r="Z7">
        <v>270.3</v>
      </c>
    </row>
    <row r="8" spans="1:26" x14ac:dyDescent="0.3">
      <c r="A8" t="s">
        <v>7</v>
      </c>
      <c r="B8" s="1">
        <f>-0.49823291*2</f>
        <v>-0.99646581999999995</v>
      </c>
      <c r="C8" s="1">
        <v>-74.885290999999995</v>
      </c>
      <c r="D8" s="1">
        <v>-76.233108000000001</v>
      </c>
      <c r="E8" s="2">
        <f t="shared" si="0"/>
        <v>220.47620328621556</v>
      </c>
      <c r="H8" t="s">
        <v>7</v>
      </c>
      <c r="I8" s="1">
        <f>-0.49982118*2</f>
        <v>-0.99964235999999995</v>
      </c>
      <c r="J8">
        <v>-74.959294</v>
      </c>
      <c r="K8" s="1">
        <v>-76.328992</v>
      </c>
      <c r="L8" s="2">
        <f t="shared" si="1"/>
        <v>232.21342962858245</v>
      </c>
      <c r="Y8" t="s">
        <v>5</v>
      </c>
      <c r="Z8">
        <v>397.5</v>
      </c>
    </row>
    <row r="9" spans="1:26" x14ac:dyDescent="0.3">
      <c r="A9" t="s">
        <v>8</v>
      </c>
      <c r="B9" s="1">
        <v>-0.49823290999999997</v>
      </c>
      <c r="C9" s="1">
        <v>-99.498819999999995</v>
      </c>
      <c r="D9" s="1">
        <v>-100.21581</v>
      </c>
      <c r="E9" s="2">
        <f t="shared" si="0"/>
        <v>137.27215216736195</v>
      </c>
      <c r="H9" t="s">
        <v>8</v>
      </c>
      <c r="I9" s="1">
        <v>-0.49982117999999998</v>
      </c>
      <c r="J9">
        <v>-99.612105999999997</v>
      </c>
      <c r="K9" s="1">
        <v>-100.34089</v>
      </c>
      <c r="L9" s="2">
        <f>(I9+J9-K9)*627.5095</f>
        <v>143.67634469679419</v>
      </c>
      <c r="Q9" s="1"/>
      <c r="R9" s="1"/>
      <c r="Y9" t="s">
        <v>6</v>
      </c>
      <c r="Z9">
        <v>280.3</v>
      </c>
    </row>
    <row r="10" spans="1:26" x14ac:dyDescent="0.3">
      <c r="Q10" s="1"/>
      <c r="R10" s="1"/>
      <c r="Y10" t="s">
        <v>7</v>
      </c>
      <c r="Z10">
        <v>221.6</v>
      </c>
    </row>
    <row r="11" spans="1:26" x14ac:dyDescent="0.3">
      <c r="Q11" s="1"/>
      <c r="R11" s="1"/>
      <c r="Y11" t="s">
        <v>8</v>
      </c>
      <c r="Z11">
        <v>136.4</v>
      </c>
    </row>
    <row r="12" spans="1:26" x14ac:dyDescent="0.3">
      <c r="Q12" s="1"/>
      <c r="R12" s="1"/>
    </row>
    <row r="13" spans="1:26" x14ac:dyDescent="0.3">
      <c r="A13" t="s">
        <v>13</v>
      </c>
      <c r="B13" t="s">
        <v>9</v>
      </c>
      <c r="C13" t="s">
        <v>10</v>
      </c>
      <c r="D13" t="s">
        <v>15</v>
      </c>
      <c r="E13" t="s">
        <v>11</v>
      </c>
      <c r="H13" t="s">
        <v>14</v>
      </c>
      <c r="I13" t="s">
        <v>9</v>
      </c>
      <c r="J13" t="s">
        <v>10</v>
      </c>
      <c r="K13" t="s">
        <v>15</v>
      </c>
      <c r="L13" t="s">
        <v>11</v>
      </c>
      <c r="M13" t="s">
        <v>31</v>
      </c>
      <c r="N13" t="s">
        <v>41</v>
      </c>
      <c r="Q13" s="1"/>
      <c r="R13" s="1"/>
    </row>
    <row r="14" spans="1:26" x14ac:dyDescent="0.3">
      <c r="A14" t="s">
        <v>1</v>
      </c>
      <c r="B14" s="1">
        <f>-0.50027278*2</f>
        <v>-1.0005455599999999</v>
      </c>
      <c r="C14" s="1">
        <v>0</v>
      </c>
      <c r="D14" s="1">
        <v>-1.1785394</v>
      </c>
      <c r="E14" s="2">
        <f>(B14+C14-D14)*627.5095</f>
        <v>111.69282554148005</v>
      </c>
      <c r="H14" t="s">
        <v>1</v>
      </c>
      <c r="I14" s="1">
        <f>-0.50225968*2</f>
        <v>-1.00451936</v>
      </c>
      <c r="J14" s="1">
        <v>0</v>
      </c>
      <c r="K14" s="1">
        <v>-1.1800238999999999</v>
      </c>
      <c r="L14" s="2">
        <f>(I14+J14-K14)*627.5095</f>
        <v>110.13076614312996</v>
      </c>
      <c r="M14">
        <v>-1.1650609999999999</v>
      </c>
      <c r="N14" s="2">
        <f>(I14+J14-M14)*627.5095</f>
        <v>100.74140424557996</v>
      </c>
      <c r="Q14" s="1"/>
      <c r="R14" s="1"/>
    </row>
    <row r="15" spans="1:26" x14ac:dyDescent="0.3">
      <c r="A15" t="s">
        <v>2</v>
      </c>
      <c r="B15" s="1">
        <v>-0.50027277999999997</v>
      </c>
      <c r="C15" s="1">
        <v>-7.4912017000000004</v>
      </c>
      <c r="D15" s="1">
        <v>-8.0825844</v>
      </c>
      <c r="E15" s="2">
        <f t="shared" ref="E15:E21" si="2">(B15+C15-D15)*627.5095</f>
        <v>57.172340344239487</v>
      </c>
      <c r="H15" t="s">
        <v>2</v>
      </c>
      <c r="I15" s="1">
        <v>-0.50225967999999999</v>
      </c>
      <c r="J15" s="1">
        <v>-7.4920543999999998</v>
      </c>
      <c r="K15" s="1">
        <v>-8.0875614999999996</v>
      </c>
      <c r="L15" s="2">
        <f t="shared" ref="L15:L21" si="3">(I15+J15-K15)*627.5095</f>
        <v>58.513641900489979</v>
      </c>
      <c r="M15">
        <v>-8.0760780000000008</v>
      </c>
      <c r="N15" s="2">
        <f t="shared" ref="N15" si="4">(I15+J15-M15)*627.5095</f>
        <v>51.307636557240691</v>
      </c>
      <c r="Q15" s="1"/>
      <c r="R15" s="1"/>
    </row>
    <row r="16" spans="1:26" x14ac:dyDescent="0.3">
      <c r="A16" t="s">
        <v>3</v>
      </c>
      <c r="B16" s="1">
        <f>-0.50027278*2</f>
        <v>-1.0005455599999999</v>
      </c>
      <c r="C16" s="1">
        <v>-14.670745</v>
      </c>
      <c r="D16" s="1">
        <v>-15.919463</v>
      </c>
      <c r="E16" s="2">
        <f t="shared" si="2"/>
        <v>155.73056373818073</v>
      </c>
      <c r="H16" t="s">
        <v>3</v>
      </c>
      <c r="I16" s="1">
        <f>-0.50225968*2</f>
        <v>-1.00451936</v>
      </c>
      <c r="J16" s="1">
        <v>-14.672447999999999</v>
      </c>
      <c r="K16" s="1">
        <v>-15.924436</v>
      </c>
      <c r="L16" s="2">
        <f t="shared" si="3"/>
        <v>155.28892255208063</v>
      </c>
      <c r="M16">
        <v>-15.902813</v>
      </c>
      <c r="N16" s="2">
        <f>(J16+I16-M16)*627.5095</f>
        <v>141.72028463358066</v>
      </c>
      <c r="Q16" s="1"/>
      <c r="R16" s="1"/>
    </row>
    <row r="17" spans="1:17" x14ac:dyDescent="0.3">
      <c r="A17" t="s">
        <v>4</v>
      </c>
      <c r="B17" s="1">
        <f>-0.50027278*3</f>
        <v>-1.5008183399999999</v>
      </c>
      <c r="C17" s="1">
        <v>-24.659564</v>
      </c>
      <c r="D17" s="1">
        <v>-26.617222999999999</v>
      </c>
      <c r="E17" s="2">
        <f t="shared" si="2"/>
        <v>286.67185413627061</v>
      </c>
      <c r="H17" t="s">
        <v>4</v>
      </c>
      <c r="I17" s="1">
        <f>-0.50225968*3</f>
        <v>-1.5067790400000001</v>
      </c>
      <c r="J17" s="1">
        <v>-24.663892000000001</v>
      </c>
      <c r="K17" s="1">
        <v>-26.624379000000001</v>
      </c>
      <c r="L17" s="2">
        <f t="shared" si="3"/>
        <v>284.70605512561946</v>
      </c>
      <c r="M17">
        <v>-26.587073</v>
      </c>
      <c r="N17" s="2">
        <f>(I17+J17-M17)*627.5095</f>
        <v>261.29618571861886</v>
      </c>
    </row>
    <row r="18" spans="1:17" x14ac:dyDescent="0.3">
      <c r="A18" t="s">
        <v>5</v>
      </c>
      <c r="B18" s="1">
        <f>-0.50027278*4</f>
        <v>-2.0010911199999999</v>
      </c>
      <c r="C18" s="1">
        <v>-37.851334000000001</v>
      </c>
      <c r="D18" s="1">
        <v>-40.526138000000003</v>
      </c>
      <c r="E18" s="2">
        <f t="shared" si="2"/>
        <v>422.76123247236228</v>
      </c>
      <c r="H18" t="s">
        <v>5</v>
      </c>
      <c r="I18" s="1">
        <f>-0.50225968*4</f>
        <v>-2.0090387199999999</v>
      </c>
      <c r="J18" s="1">
        <v>-37.859060999999997</v>
      </c>
      <c r="K18" s="1">
        <v>-40.538424999999997</v>
      </c>
      <c r="L18" s="2">
        <f t="shared" si="3"/>
        <v>420.6354812901601</v>
      </c>
      <c r="M18">
        <v>-40.477544999999999</v>
      </c>
      <c r="N18" s="2">
        <f>(I18+J18-M18)*627.5095</f>
        <v>382.43270293016172</v>
      </c>
    </row>
    <row r="19" spans="1:17" x14ac:dyDescent="0.3">
      <c r="A19" t="s">
        <v>6</v>
      </c>
      <c r="B19" s="1">
        <f>-0.50027278*3</f>
        <v>-1.5008183399999999</v>
      </c>
      <c r="C19" s="1">
        <v>-54.587774000000003</v>
      </c>
      <c r="D19" s="1">
        <v>-56.566985000000003</v>
      </c>
      <c r="E19" s="2">
        <f t="shared" si="2"/>
        <v>300.19593888026827</v>
      </c>
      <c r="H19" t="s">
        <v>6</v>
      </c>
      <c r="I19" s="1">
        <f>-0.50225968*3</f>
        <v>-1.5067790400000001</v>
      </c>
      <c r="J19" s="1">
        <v>-54.602891</v>
      </c>
      <c r="K19" s="1">
        <v>-56.588858000000002</v>
      </c>
      <c r="L19" s="2">
        <f t="shared" si="3"/>
        <v>300.69499718562275</v>
      </c>
      <c r="M19">
        <v>-56.528795000000002</v>
      </c>
      <c r="N19" s="2">
        <f>(I19+J19-M19)*627.5095</f>
        <v>263.00489408712303</v>
      </c>
    </row>
    <row r="20" spans="1:17" x14ac:dyDescent="0.3">
      <c r="A20" t="s">
        <v>7</v>
      </c>
      <c r="B20" s="1">
        <f>-0.50027278*2</f>
        <v>-1.0005455599999999</v>
      </c>
      <c r="C20" s="1">
        <v>-75.067605</v>
      </c>
      <c r="D20" s="1">
        <v>-76.434049000000002</v>
      </c>
      <c r="E20" s="2">
        <f t="shared" si="2"/>
        <v>229.60474713517698</v>
      </c>
      <c r="H20" t="s">
        <v>7</v>
      </c>
      <c r="I20" s="1">
        <f>-0.50225968*2</f>
        <v>-1.00451936</v>
      </c>
      <c r="J20" s="1">
        <v>-75.094177999999999</v>
      </c>
      <c r="K20" s="1">
        <v>-76.466198000000006</v>
      </c>
      <c r="L20" s="2">
        <f t="shared" si="3"/>
        <v>230.61014285608184</v>
      </c>
      <c r="M20">
        <v>-76.408980999999997</v>
      </c>
      <c r="N20" s="2">
        <f>(I20+J20-M20)*627.5095</f>
        <v>194.70593179457649</v>
      </c>
      <c r="Q20" s="1"/>
    </row>
    <row r="21" spans="1:17" x14ac:dyDescent="0.3">
      <c r="A21" t="s">
        <v>8</v>
      </c>
      <c r="B21" s="1">
        <v>-0.50027277999999997</v>
      </c>
      <c r="C21" s="1">
        <v>-99.730594999999994</v>
      </c>
      <c r="D21" s="1">
        <v>-100.45137</v>
      </c>
      <c r="E21" s="2">
        <f t="shared" si="2"/>
        <v>138.36723782109013</v>
      </c>
      <c r="H21" t="s">
        <v>8</v>
      </c>
      <c r="I21" s="1">
        <v>-0.50225967999999999</v>
      </c>
      <c r="J21" s="1">
        <v>-99.766141000000005</v>
      </c>
      <c r="K21" s="1">
        <v>-100.49007</v>
      </c>
      <c r="L21" s="2">
        <f t="shared" si="3"/>
        <v>139.09960415854235</v>
      </c>
      <c r="M21">
        <v>-100.438794</v>
      </c>
      <c r="N21" s="2">
        <f>(I21+J21-M21)*627.5095</f>
        <v>106.92342703654144</v>
      </c>
    </row>
    <row r="25" spans="1:17" x14ac:dyDescent="0.3">
      <c r="A25" t="s">
        <v>16</v>
      </c>
      <c r="B25" t="s">
        <v>0</v>
      </c>
      <c r="C25" t="s">
        <v>12</v>
      </c>
      <c r="D25" t="s">
        <v>13</v>
      </c>
      <c r="E25" t="s">
        <v>14</v>
      </c>
      <c r="F25" t="s">
        <v>19</v>
      </c>
    </row>
    <row r="26" spans="1:17" x14ac:dyDescent="0.3">
      <c r="A26" t="s">
        <v>1</v>
      </c>
      <c r="B26" s="2">
        <f>101.2</f>
        <v>101.2</v>
      </c>
      <c r="C26">
        <v>103.8</v>
      </c>
      <c r="D26">
        <v>111.7</v>
      </c>
      <c r="E26">
        <v>110.1</v>
      </c>
      <c r="F26">
        <v>104.2</v>
      </c>
    </row>
    <row r="27" spans="1:17" x14ac:dyDescent="0.3">
      <c r="A27" t="s">
        <v>2</v>
      </c>
      <c r="B27">
        <v>45.2</v>
      </c>
      <c r="C27">
        <v>51.8</v>
      </c>
      <c r="D27">
        <v>57.2</v>
      </c>
      <c r="E27">
        <v>58.5</v>
      </c>
      <c r="F27">
        <v>56.6</v>
      </c>
    </row>
    <row r="28" spans="1:17" x14ac:dyDescent="0.3">
      <c r="A28" t="s">
        <v>3</v>
      </c>
      <c r="B28">
        <v>141</v>
      </c>
      <c r="C28">
        <v>146</v>
      </c>
      <c r="D28">
        <v>155.69999999999999</v>
      </c>
      <c r="E28">
        <v>155.30000000000001</v>
      </c>
      <c r="F28">
        <v>151.6</v>
      </c>
    </row>
    <row r="29" spans="1:17" x14ac:dyDescent="0.3">
      <c r="A29" t="s">
        <v>4</v>
      </c>
      <c r="B29">
        <v>269.5</v>
      </c>
      <c r="C29">
        <v>275.5</v>
      </c>
      <c r="D29">
        <v>286.7</v>
      </c>
      <c r="E29">
        <v>284.7</v>
      </c>
      <c r="F29">
        <v>270.3</v>
      </c>
    </row>
    <row r="30" spans="1:17" x14ac:dyDescent="0.3">
      <c r="A30" t="s">
        <v>5</v>
      </c>
      <c r="B30">
        <v>399.4</v>
      </c>
      <c r="C30">
        <v>411.4</v>
      </c>
      <c r="D30">
        <v>422.8</v>
      </c>
      <c r="E30">
        <v>420.6</v>
      </c>
      <c r="F30">
        <v>397.5</v>
      </c>
    </row>
    <row r="31" spans="1:17" x14ac:dyDescent="0.3">
      <c r="A31" t="s">
        <v>6</v>
      </c>
      <c r="B31">
        <v>274.89999999999998</v>
      </c>
      <c r="C31">
        <v>290.2</v>
      </c>
      <c r="D31">
        <v>300.2</v>
      </c>
      <c r="E31">
        <v>300.7</v>
      </c>
      <c r="F31">
        <v>280.3</v>
      </c>
    </row>
    <row r="32" spans="1:17" x14ac:dyDescent="0.3">
      <c r="A32" t="s">
        <v>7</v>
      </c>
      <c r="B32">
        <v>220.5</v>
      </c>
      <c r="C32">
        <v>232.2</v>
      </c>
      <c r="D32">
        <v>229.6</v>
      </c>
      <c r="E32">
        <v>230.6</v>
      </c>
      <c r="F32">
        <v>221.6</v>
      </c>
    </row>
    <row r="33" spans="1:6" x14ac:dyDescent="0.3">
      <c r="A33" t="s">
        <v>8</v>
      </c>
      <c r="B33">
        <v>137.30000000000001</v>
      </c>
      <c r="C33">
        <v>143.69999999999999</v>
      </c>
      <c r="D33">
        <v>138.4</v>
      </c>
      <c r="E33">
        <v>139.1</v>
      </c>
      <c r="F33">
        <v>136.4</v>
      </c>
    </row>
    <row r="35" spans="1:6" x14ac:dyDescent="0.3">
      <c r="A35" t="s">
        <v>16</v>
      </c>
      <c r="B35" t="s">
        <v>0</v>
      </c>
      <c r="C35" t="s">
        <v>12</v>
      </c>
      <c r="D35" t="s">
        <v>13</v>
      </c>
      <c r="E35" t="s">
        <v>14</v>
      </c>
    </row>
    <row r="36" spans="1:6" x14ac:dyDescent="0.3">
      <c r="A36" t="s">
        <v>18</v>
      </c>
      <c r="B36" s="2">
        <f>(F26-B26+F27-B27+F28-B28+F29-B29+B30-F30+F31-B31+F32-B32+B33-F33)/8</f>
        <v>4.3875000000000028</v>
      </c>
      <c r="C36" s="2">
        <f>(F26-C26+F27-C27+F28-C28+C29-F29+C30-F30+C31-F31+C32-F32+C33-F33)/8</f>
        <v>7.2124999999999915</v>
      </c>
      <c r="D36" s="2">
        <f>(D26-F26+D27-F27+D28-F28+D29-F29+D30-F30+D31-F31+D32-F32+D33-F33)/8</f>
        <v>10.474999999999998</v>
      </c>
      <c r="E36" s="2">
        <f>(E26-F26+E27-F27+E28-F28+E29-F29+E30-F30+E31-F31+E32-F32+E33-F33)/8</f>
        <v>10.137499999999999</v>
      </c>
      <c r="F36" t="s">
        <v>17</v>
      </c>
    </row>
    <row r="53" spans="1:24" ht="18.600000000000001" x14ac:dyDescent="0.3">
      <c r="J53" t="s">
        <v>29</v>
      </c>
      <c r="K53" t="s">
        <v>44</v>
      </c>
      <c r="L53" t="s">
        <v>45</v>
      </c>
      <c r="M53" t="s">
        <v>46</v>
      </c>
      <c r="N53" t="s">
        <v>47</v>
      </c>
      <c r="P53" t="s">
        <v>54</v>
      </c>
      <c r="Q53" t="s">
        <v>55</v>
      </c>
      <c r="R53" t="s">
        <v>31</v>
      </c>
      <c r="S53" t="s">
        <v>58</v>
      </c>
      <c r="U53" s="5" t="s">
        <v>20</v>
      </c>
      <c r="V53" s="5" t="s">
        <v>31</v>
      </c>
      <c r="W53" s="5" t="s">
        <v>30</v>
      </c>
      <c r="X53" t="s">
        <v>57</v>
      </c>
    </row>
    <row r="54" spans="1:24" ht="19.2" x14ac:dyDescent="0.3">
      <c r="A54" t="s">
        <v>20</v>
      </c>
      <c r="B54" t="s">
        <v>29</v>
      </c>
      <c r="C54" t="s">
        <v>31</v>
      </c>
      <c r="D54" t="s">
        <v>30</v>
      </c>
      <c r="E54" s="3" t="s">
        <v>32</v>
      </c>
      <c r="J54" t="s">
        <v>21</v>
      </c>
      <c r="K54">
        <v>0.74299999999999999</v>
      </c>
      <c r="L54">
        <v>0.74099999999999999</v>
      </c>
      <c r="M54">
        <v>4465</v>
      </c>
      <c r="N54">
        <v>4161</v>
      </c>
      <c r="P54" t="s">
        <v>21</v>
      </c>
      <c r="Q54" s="6">
        <v>-1.1800238999999999</v>
      </c>
      <c r="R54" s="6">
        <v>-1.1650609999999999</v>
      </c>
      <c r="S54" s="4">
        <f>R54-Q54</f>
        <v>1.4962900000000001E-2</v>
      </c>
      <c r="U54" s="5" t="s">
        <v>21</v>
      </c>
      <c r="V54" s="5">
        <v>0</v>
      </c>
      <c r="W54" s="5">
        <v>0</v>
      </c>
      <c r="X54">
        <f>W54-V54</f>
        <v>0</v>
      </c>
    </row>
    <row r="55" spans="1:24" x14ac:dyDescent="0.3">
      <c r="A55" t="s">
        <v>21</v>
      </c>
      <c r="B55" s="2">
        <v>0.36799999999999999</v>
      </c>
      <c r="C55">
        <v>0</v>
      </c>
      <c r="D55">
        <v>0</v>
      </c>
      <c r="E55" t="s">
        <v>33</v>
      </c>
      <c r="F55">
        <v>52.1</v>
      </c>
      <c r="J55" t="s">
        <v>22</v>
      </c>
      <c r="K55">
        <v>1.6140000000000001</v>
      </c>
      <c r="L55">
        <v>1.595</v>
      </c>
      <c r="M55">
        <v>1401</v>
      </c>
      <c r="N55">
        <v>1405</v>
      </c>
      <c r="P55" t="s">
        <v>22</v>
      </c>
      <c r="Q55" s="6">
        <v>-8.0875614999999996</v>
      </c>
      <c r="R55" s="6">
        <v>-8.0760780000000008</v>
      </c>
      <c r="S55" s="4">
        <f t="shared" ref="S55:S61" si="5">R55-Q55</f>
        <v>1.148349999999887E-2</v>
      </c>
      <c r="U55" s="5" t="s">
        <v>22</v>
      </c>
      <c r="V55" s="5">
        <v>26.2</v>
      </c>
      <c r="W55" s="5">
        <v>33.6</v>
      </c>
      <c r="X55" s="5">
        <f t="shared" ref="X55:X61" si="6">W55-V55</f>
        <v>7.4000000000000021</v>
      </c>
    </row>
    <row r="56" spans="1:24" x14ac:dyDescent="0.3">
      <c r="A56" t="s">
        <v>22</v>
      </c>
      <c r="B56">
        <v>33.4</v>
      </c>
      <c r="C56">
        <v>26.2</v>
      </c>
      <c r="D56">
        <v>33.6</v>
      </c>
      <c r="E56" t="s">
        <v>38</v>
      </c>
      <c r="F56">
        <v>38.1</v>
      </c>
      <c r="J56" t="s">
        <v>23</v>
      </c>
      <c r="K56">
        <v>1.331</v>
      </c>
      <c r="L56">
        <v>1.3260000000000001</v>
      </c>
      <c r="M56" t="s">
        <v>53</v>
      </c>
      <c r="N56" t="s">
        <v>56</v>
      </c>
      <c r="P56" t="s">
        <v>23</v>
      </c>
      <c r="Q56" s="6">
        <v>-15.924436</v>
      </c>
      <c r="R56" s="6">
        <v>-15.902813</v>
      </c>
      <c r="S56" s="4">
        <f t="shared" si="5"/>
        <v>2.1622999999999948E-2</v>
      </c>
      <c r="U56" s="5" t="s">
        <v>23</v>
      </c>
      <c r="V56" s="5">
        <v>16.8</v>
      </c>
      <c r="W56" s="5">
        <v>30</v>
      </c>
      <c r="X56" s="5">
        <f t="shared" si="6"/>
        <v>13.2</v>
      </c>
    </row>
    <row r="57" spans="1:24" x14ac:dyDescent="0.3">
      <c r="A57" t="s">
        <v>23</v>
      </c>
      <c r="B57">
        <v>32.4</v>
      </c>
      <c r="C57">
        <v>16.8</v>
      </c>
      <c r="D57">
        <v>30</v>
      </c>
      <c r="E57" t="s">
        <v>34</v>
      </c>
      <c r="F57">
        <v>77.400000000000006</v>
      </c>
      <c r="J57" t="s">
        <v>24</v>
      </c>
      <c r="K57">
        <v>1.1930000000000001</v>
      </c>
      <c r="L57">
        <v>1.19</v>
      </c>
      <c r="M57" t="s">
        <v>52</v>
      </c>
      <c r="N57" t="s">
        <v>59</v>
      </c>
      <c r="P57" t="s">
        <v>24</v>
      </c>
      <c r="Q57" s="6">
        <v>-26.624379000000001</v>
      </c>
      <c r="R57" s="6">
        <v>-26.587073</v>
      </c>
      <c r="S57" s="4">
        <f t="shared" si="5"/>
        <v>3.730600000000095E-2</v>
      </c>
      <c r="U57" s="5" t="s">
        <v>24</v>
      </c>
      <c r="V57" s="5">
        <v>-3.8</v>
      </c>
      <c r="W57" s="5">
        <v>21</v>
      </c>
      <c r="X57" s="5">
        <f t="shared" si="6"/>
        <v>24.8</v>
      </c>
    </row>
    <row r="58" spans="1:24" x14ac:dyDescent="0.3">
      <c r="A58" t="s">
        <v>24</v>
      </c>
      <c r="B58">
        <v>19.600000000000001</v>
      </c>
      <c r="C58">
        <v>-3.8</v>
      </c>
      <c r="D58">
        <v>21</v>
      </c>
      <c r="E58" t="s">
        <v>35</v>
      </c>
      <c r="F58">
        <v>135</v>
      </c>
      <c r="J58" t="s">
        <v>25</v>
      </c>
      <c r="K58">
        <v>1.093</v>
      </c>
      <c r="L58">
        <v>1.087</v>
      </c>
      <c r="M58" t="s">
        <v>50</v>
      </c>
      <c r="N58" t="s">
        <v>51</v>
      </c>
      <c r="P58" t="s">
        <v>25</v>
      </c>
      <c r="Q58" s="6">
        <v>-40.538424999999997</v>
      </c>
      <c r="R58" s="6">
        <v>-40.477544999999999</v>
      </c>
      <c r="S58" s="4">
        <f t="shared" si="5"/>
        <v>6.0879999999997381E-2</v>
      </c>
      <c r="U58" s="5" t="s">
        <v>25</v>
      </c>
      <c r="V58" s="5">
        <v>-56.8</v>
      </c>
      <c r="W58" s="5">
        <v>-17.8</v>
      </c>
      <c r="X58" s="5">
        <f t="shared" si="6"/>
        <v>39</v>
      </c>
    </row>
    <row r="59" spans="1:24" x14ac:dyDescent="0.3">
      <c r="A59" t="s">
        <v>25</v>
      </c>
      <c r="B59">
        <v>-17.8</v>
      </c>
      <c r="C59">
        <v>-56.8</v>
      </c>
      <c r="D59">
        <v>-17.8</v>
      </c>
      <c r="E59" t="s">
        <v>36</v>
      </c>
      <c r="F59">
        <v>171.3</v>
      </c>
      <c r="J59" t="s">
        <v>26</v>
      </c>
      <c r="K59">
        <v>1.016</v>
      </c>
      <c r="L59">
        <v>1.012</v>
      </c>
      <c r="M59" t="s">
        <v>48</v>
      </c>
      <c r="N59" t="s">
        <v>49</v>
      </c>
      <c r="P59" t="s">
        <v>26</v>
      </c>
      <c r="Q59" s="6">
        <v>-56.588858000000002</v>
      </c>
      <c r="R59" s="6">
        <v>-56.528795000000002</v>
      </c>
      <c r="S59" s="4">
        <f t="shared" si="5"/>
        <v>6.0062999999999533E-2</v>
      </c>
      <c r="U59" s="5" t="s">
        <v>26</v>
      </c>
      <c r="V59" s="5">
        <v>-49.4</v>
      </c>
      <c r="W59" s="5">
        <v>-11</v>
      </c>
      <c r="X59" s="5">
        <f t="shared" si="6"/>
        <v>38.4</v>
      </c>
    </row>
    <row r="60" spans="1:24" x14ac:dyDescent="0.3">
      <c r="A60" t="s">
        <v>26</v>
      </c>
      <c r="B60">
        <v>-11.7</v>
      </c>
      <c r="C60">
        <v>-49.4</v>
      </c>
      <c r="D60">
        <v>-11</v>
      </c>
      <c r="E60" t="s">
        <v>39</v>
      </c>
      <c r="F60">
        <v>112.9</v>
      </c>
      <c r="J60" t="s">
        <v>27</v>
      </c>
      <c r="K60">
        <v>0.96499999999999997</v>
      </c>
      <c r="L60">
        <v>0.95799999999999996</v>
      </c>
      <c r="M60" t="s">
        <v>42</v>
      </c>
      <c r="N60" t="s">
        <v>43</v>
      </c>
      <c r="P60" t="s">
        <v>27</v>
      </c>
      <c r="Q60" s="6">
        <v>-76.466198000000006</v>
      </c>
      <c r="R60" s="6">
        <v>-76.408980999999997</v>
      </c>
      <c r="S60" s="4">
        <f t="shared" si="5"/>
        <v>5.7217000000008511E-2</v>
      </c>
      <c r="U60" s="5" t="s">
        <v>27</v>
      </c>
      <c r="V60" s="5">
        <v>-91.4</v>
      </c>
      <c r="W60" s="5">
        <v>-57.8</v>
      </c>
      <c r="X60" s="5">
        <f t="shared" si="6"/>
        <v>33.600000000000009</v>
      </c>
    </row>
    <row r="61" spans="1:24" x14ac:dyDescent="0.3">
      <c r="A61" t="s">
        <v>27</v>
      </c>
      <c r="B61">
        <v>-55.5</v>
      </c>
      <c r="C61">
        <v>-91.4</v>
      </c>
      <c r="D61">
        <v>-57.8</v>
      </c>
      <c r="E61" t="s">
        <v>40</v>
      </c>
      <c r="F61">
        <v>59.6</v>
      </c>
      <c r="J61" t="s">
        <v>28</v>
      </c>
      <c r="K61">
        <v>0.92800000000000005</v>
      </c>
      <c r="L61">
        <v>0.91700000000000004</v>
      </c>
      <c r="M61">
        <v>4069</v>
      </c>
      <c r="N61">
        <v>3961</v>
      </c>
      <c r="P61" t="s">
        <v>28</v>
      </c>
      <c r="Q61" s="6">
        <v>-100.49007</v>
      </c>
      <c r="R61" s="6">
        <v>-100.438794</v>
      </c>
      <c r="S61" s="4">
        <f t="shared" si="5"/>
        <v>5.1276000000001432E-2</v>
      </c>
      <c r="U61" s="5" t="s">
        <v>28</v>
      </c>
      <c r="V61" s="5">
        <v>25.2</v>
      </c>
      <c r="W61" s="5">
        <v>-65.3</v>
      </c>
      <c r="X61" s="5">
        <f t="shared" si="6"/>
        <v>-90.5</v>
      </c>
    </row>
    <row r="62" spans="1:24" x14ac:dyDescent="0.3">
      <c r="A62" t="s">
        <v>28</v>
      </c>
      <c r="B62">
        <v>58.4</v>
      </c>
      <c r="C62">
        <v>25.2</v>
      </c>
      <c r="D62">
        <v>-65.3</v>
      </c>
      <c r="E62" t="s">
        <v>37</v>
      </c>
      <c r="F62">
        <v>18.899999999999999</v>
      </c>
    </row>
    <row r="64" spans="1:24" ht="18.600000000000001" x14ac:dyDescent="0.3">
      <c r="L64" s="5" t="s">
        <v>29</v>
      </c>
      <c r="M64" s="5" t="s">
        <v>46</v>
      </c>
      <c r="N64" s="5" t="s">
        <v>47</v>
      </c>
    </row>
    <row r="65" spans="12:14" x14ac:dyDescent="0.3">
      <c r="L65" s="5" t="s">
        <v>21</v>
      </c>
      <c r="M65" s="5">
        <v>4465</v>
      </c>
      <c r="N65" s="5">
        <v>4161</v>
      </c>
    </row>
    <row r="66" spans="12:14" x14ac:dyDescent="0.3">
      <c r="L66" s="5" t="s">
        <v>22</v>
      </c>
      <c r="M66" s="5">
        <v>1401</v>
      </c>
      <c r="N66" s="5">
        <v>1405</v>
      </c>
    </row>
    <row r="67" spans="12:14" x14ac:dyDescent="0.3">
      <c r="L67" s="5" t="s">
        <v>23</v>
      </c>
      <c r="M67" s="5" t="s">
        <v>53</v>
      </c>
      <c r="N67" s="5" t="s">
        <v>56</v>
      </c>
    </row>
    <row r="68" spans="12:14" x14ac:dyDescent="0.3">
      <c r="L68" s="5" t="s">
        <v>24</v>
      </c>
      <c r="M68" s="5" t="s">
        <v>52</v>
      </c>
      <c r="N68" s="5" t="s">
        <v>59</v>
      </c>
    </row>
    <row r="69" spans="12:14" x14ac:dyDescent="0.3">
      <c r="L69" s="5" t="s">
        <v>25</v>
      </c>
      <c r="M69" s="5" t="s">
        <v>50</v>
      </c>
      <c r="N69" s="5" t="s">
        <v>51</v>
      </c>
    </row>
    <row r="70" spans="12:14" x14ac:dyDescent="0.3">
      <c r="L70" s="5" t="s">
        <v>26</v>
      </c>
      <c r="M70" s="5" t="s">
        <v>48</v>
      </c>
      <c r="N70" s="5" t="s">
        <v>49</v>
      </c>
    </row>
    <row r="71" spans="12:14" x14ac:dyDescent="0.3">
      <c r="L71" s="5" t="s">
        <v>27</v>
      </c>
      <c r="M71" s="5" t="s">
        <v>42</v>
      </c>
      <c r="N71" s="5" t="s">
        <v>43</v>
      </c>
    </row>
    <row r="72" spans="12:14" x14ac:dyDescent="0.3">
      <c r="L72" s="5" t="s">
        <v>28</v>
      </c>
      <c r="M72" s="5">
        <v>4069</v>
      </c>
      <c r="N72" s="5">
        <v>3961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0D5B-E2FC-4B62-AE40-624CA330DAE3}">
  <dimension ref="A1:W58"/>
  <sheetViews>
    <sheetView topLeftCell="B1" zoomScale="130" zoomScaleNormal="130" workbookViewId="0">
      <selection activeCell="T60" sqref="T60"/>
    </sheetView>
  </sheetViews>
  <sheetFormatPr defaultRowHeight="16.2" x14ac:dyDescent="0.3"/>
  <cols>
    <col min="1" max="1" width="16.109375" customWidth="1"/>
    <col min="2" max="2" width="13.88671875" customWidth="1"/>
    <col min="3" max="3" width="11.77734375" bestFit="1" customWidth="1"/>
    <col min="5" max="5" width="15.44140625" customWidth="1"/>
    <col min="6" max="7" width="10.6640625" bestFit="1" customWidth="1"/>
    <col min="9" max="9" width="16.109375" customWidth="1"/>
    <col min="10" max="11" width="10.6640625" bestFit="1" customWidth="1"/>
    <col min="14" max="14" width="12.44140625" customWidth="1"/>
    <col min="15" max="15" width="11.33203125" customWidth="1"/>
    <col min="16" max="17" width="11.21875" customWidth="1"/>
  </cols>
  <sheetData>
    <row r="1" spans="1:21" x14ac:dyDescent="0.3">
      <c r="B1" t="s">
        <v>63</v>
      </c>
      <c r="C1" t="s">
        <v>64</v>
      </c>
      <c r="D1" t="s">
        <v>65</v>
      </c>
      <c r="N1" t="s">
        <v>66</v>
      </c>
      <c r="O1" t="s">
        <v>69</v>
      </c>
      <c r="P1" t="s">
        <v>106</v>
      </c>
      <c r="Q1" t="s">
        <v>107</v>
      </c>
    </row>
    <row r="2" spans="1:21" x14ac:dyDescent="0.3">
      <c r="A2" t="s">
        <v>60</v>
      </c>
      <c r="B2" s="1">
        <v>-93.143057999999996</v>
      </c>
      <c r="C2" s="1">
        <v>-93.231302999999997</v>
      </c>
      <c r="N2" s="5" t="s">
        <v>30</v>
      </c>
      <c r="O2" t="s">
        <v>101</v>
      </c>
      <c r="P2" s="5" t="s">
        <v>103</v>
      </c>
      <c r="Q2" s="5" t="s">
        <v>104</v>
      </c>
    </row>
    <row r="3" spans="1:21" x14ac:dyDescent="0.3">
      <c r="A3" t="s">
        <v>61</v>
      </c>
      <c r="B3" s="1">
        <v>-93.087008999999995</v>
      </c>
      <c r="C3" s="1">
        <v>-93.176483000000005</v>
      </c>
      <c r="N3" s="5" t="s">
        <v>63</v>
      </c>
      <c r="O3" t="s">
        <v>79</v>
      </c>
      <c r="P3" t="s">
        <v>81</v>
      </c>
      <c r="Q3" t="s">
        <v>83</v>
      </c>
    </row>
    <row r="4" spans="1:21" x14ac:dyDescent="0.3">
      <c r="A4" t="s">
        <v>62</v>
      </c>
      <c r="B4" s="6">
        <f>(B3-B2)*627.5095</f>
        <v>35.171279965500986</v>
      </c>
      <c r="C4" s="6">
        <f>(C3-C2)*627.5095</f>
        <v>34.400070789995183</v>
      </c>
      <c r="N4" s="5" t="s">
        <v>64</v>
      </c>
      <c r="O4" t="s">
        <v>80</v>
      </c>
      <c r="P4" t="s">
        <v>82</v>
      </c>
      <c r="Q4" t="s">
        <v>84</v>
      </c>
      <c r="S4">
        <v>3.5539999999999998</v>
      </c>
      <c r="T4">
        <v>4</v>
      </c>
      <c r="U4">
        <v>2.5</v>
      </c>
    </row>
    <row r="5" spans="1:21" x14ac:dyDescent="0.3">
      <c r="R5" t="s">
        <v>65</v>
      </c>
      <c r="S5" t="s">
        <v>101</v>
      </c>
      <c r="T5" t="s">
        <v>100</v>
      </c>
      <c r="U5" t="s">
        <v>102</v>
      </c>
    </row>
    <row r="6" spans="1:21" x14ac:dyDescent="0.3">
      <c r="S6">
        <v>-32.700000000000003</v>
      </c>
      <c r="T6">
        <v>-33.83</v>
      </c>
      <c r="U6">
        <v>-30.99</v>
      </c>
    </row>
    <row r="7" spans="1:21" x14ac:dyDescent="0.3">
      <c r="A7" t="s">
        <v>70</v>
      </c>
      <c r="B7" s="5" t="s">
        <v>63</v>
      </c>
      <c r="C7" s="5" t="s">
        <v>64</v>
      </c>
      <c r="D7" t="s">
        <v>30</v>
      </c>
      <c r="E7" s="5" t="s">
        <v>71</v>
      </c>
      <c r="F7" s="5" t="s">
        <v>63</v>
      </c>
      <c r="G7" s="5" t="s">
        <v>64</v>
      </c>
      <c r="I7" s="5" t="s">
        <v>72</v>
      </c>
      <c r="J7" s="5" t="s">
        <v>63</v>
      </c>
      <c r="K7" s="5" t="s">
        <v>64</v>
      </c>
      <c r="N7" t="s">
        <v>108</v>
      </c>
      <c r="O7" s="5" t="s">
        <v>69</v>
      </c>
      <c r="P7" s="5" t="s">
        <v>106</v>
      </c>
      <c r="Q7" s="5" t="s">
        <v>107</v>
      </c>
    </row>
    <row r="8" spans="1:21" x14ac:dyDescent="0.3">
      <c r="A8" t="s">
        <v>61</v>
      </c>
      <c r="B8" s="1">
        <v>-115.863309</v>
      </c>
      <c r="C8" s="1">
        <v>-116.00249599999999</v>
      </c>
      <c r="E8" s="5" t="s">
        <v>61</v>
      </c>
      <c r="F8" s="1">
        <v>-115.860688</v>
      </c>
      <c r="G8" s="1">
        <v>-115.999832</v>
      </c>
      <c r="I8" s="5" t="s">
        <v>61</v>
      </c>
      <c r="J8" s="1">
        <v>-115.871464</v>
      </c>
      <c r="K8" s="1">
        <v>-116.01078099999999</v>
      </c>
      <c r="N8" s="5" t="s">
        <v>30</v>
      </c>
      <c r="O8" t="s">
        <v>109</v>
      </c>
      <c r="P8" t="s">
        <v>51</v>
      </c>
      <c r="Q8" t="s">
        <v>51</v>
      </c>
    </row>
    <row r="9" spans="1:21" x14ac:dyDescent="0.3">
      <c r="A9" t="s">
        <v>5</v>
      </c>
      <c r="B9" s="1">
        <v>-40.337057000000001</v>
      </c>
      <c r="C9" s="1">
        <v>-40.386372000000001</v>
      </c>
      <c r="E9" s="5" t="s">
        <v>5</v>
      </c>
      <c r="F9" s="1">
        <v>-40.335301000000001</v>
      </c>
      <c r="G9" s="1">
        <v>-40.384614999999997</v>
      </c>
      <c r="I9" s="5" t="s">
        <v>5</v>
      </c>
      <c r="J9" s="1">
        <v>-40.342486999999998</v>
      </c>
      <c r="K9" s="1">
        <v>-40.391803000000003</v>
      </c>
      <c r="N9" s="5" t="s">
        <v>63</v>
      </c>
      <c r="O9" t="s">
        <v>85</v>
      </c>
      <c r="P9" t="s">
        <v>87</v>
      </c>
      <c r="Q9" t="s">
        <v>89</v>
      </c>
    </row>
    <row r="10" spans="1:21" x14ac:dyDescent="0.3">
      <c r="A10" t="s">
        <v>67</v>
      </c>
      <c r="B10" s="1">
        <v>-75.549256</v>
      </c>
      <c r="C10" s="1">
        <v>-75.634604999999993</v>
      </c>
      <c r="E10" s="5" t="s">
        <v>67</v>
      </c>
      <c r="F10" s="1">
        <v>-75.547572000000002</v>
      </c>
      <c r="G10" s="1">
        <v>-75.632920999999996</v>
      </c>
      <c r="I10" s="5" t="s">
        <v>67</v>
      </c>
      <c r="J10" s="1">
        <v>-75.554440999999997</v>
      </c>
      <c r="K10" s="1">
        <v>-75.639787999999996</v>
      </c>
      <c r="N10" s="5" t="s">
        <v>64</v>
      </c>
      <c r="O10" t="s">
        <v>86</v>
      </c>
      <c r="P10" t="s">
        <v>88</v>
      </c>
      <c r="Q10" t="s">
        <v>90</v>
      </c>
    </row>
    <row r="11" spans="1:21" x14ac:dyDescent="0.3">
      <c r="A11" t="s">
        <v>68</v>
      </c>
      <c r="B11" s="6">
        <f>(B9+B10-B8)*627.5095*-1</f>
        <v>14.435228538000155</v>
      </c>
      <c r="C11" s="6">
        <f>(C9+C10-C8)*627.5095*-1</f>
        <v>11.597003069496358</v>
      </c>
      <c r="E11" s="5" t="s">
        <v>68</v>
      </c>
      <c r="F11" s="6">
        <f>(F9+F10-F8)*627.5095*-1</f>
        <v>13.921298257504674</v>
      </c>
      <c r="G11" s="6">
        <f>(G9+G10-G8)*627.5095*-1</f>
        <v>11.109428187996759</v>
      </c>
      <c r="I11" s="5" t="s">
        <v>68</v>
      </c>
      <c r="J11" s="6">
        <f>(J9+J10-J8)*627.5095*-1</f>
        <v>15.978901907999678</v>
      </c>
      <c r="K11" s="6">
        <f>(K9+K10-K8)*627.5095*-1</f>
        <v>13.058472694998326</v>
      </c>
    </row>
    <row r="12" spans="1:21" x14ac:dyDescent="0.3">
      <c r="A12" t="s">
        <v>76</v>
      </c>
      <c r="B12" t="s">
        <v>79</v>
      </c>
      <c r="C12" t="s">
        <v>80</v>
      </c>
      <c r="D12" t="s">
        <v>95</v>
      </c>
      <c r="E12" t="s">
        <v>77</v>
      </c>
      <c r="F12" t="s">
        <v>81</v>
      </c>
      <c r="G12" t="s">
        <v>82</v>
      </c>
      <c r="H12" t="s">
        <v>96</v>
      </c>
      <c r="I12" t="s">
        <v>76</v>
      </c>
      <c r="J12" t="s">
        <v>83</v>
      </c>
      <c r="K12" t="s">
        <v>84</v>
      </c>
      <c r="L12" t="s">
        <v>97</v>
      </c>
    </row>
    <row r="15" spans="1:21" x14ac:dyDescent="0.3">
      <c r="A15" s="5" t="s">
        <v>73</v>
      </c>
      <c r="B15" s="5" t="s">
        <v>63</v>
      </c>
      <c r="C15" s="5" t="s">
        <v>64</v>
      </c>
      <c r="D15" s="5"/>
      <c r="E15" s="5" t="s">
        <v>74</v>
      </c>
      <c r="F15" s="5" t="s">
        <v>63</v>
      </c>
      <c r="G15" s="5" t="s">
        <v>64</v>
      </c>
      <c r="H15" s="5"/>
      <c r="I15" s="5" t="s">
        <v>75</v>
      </c>
      <c r="J15" s="5" t="s">
        <v>63</v>
      </c>
      <c r="K15" s="5" t="s">
        <v>64</v>
      </c>
    </row>
    <row r="16" spans="1:21" x14ac:dyDescent="0.3">
      <c r="A16" s="5" t="s">
        <v>61</v>
      </c>
      <c r="B16" s="1">
        <v>-115.87497500000001</v>
      </c>
      <c r="C16" s="1">
        <v>-116.014104</v>
      </c>
      <c r="D16" s="5"/>
      <c r="E16" s="5" t="s">
        <v>61</v>
      </c>
      <c r="F16" s="5">
        <v>-115.872247</v>
      </c>
      <c r="G16" s="5">
        <v>-116.01132699999999</v>
      </c>
      <c r="H16" s="5"/>
      <c r="I16" s="5" t="s">
        <v>61</v>
      </c>
      <c r="J16" s="5">
        <v>-115.883484</v>
      </c>
      <c r="K16" s="5">
        <v>-116.022761</v>
      </c>
    </row>
    <row r="17" spans="1:20" x14ac:dyDescent="0.3">
      <c r="A17" s="5" t="s">
        <v>78</v>
      </c>
      <c r="B17" s="1">
        <v>-40.350693999999997</v>
      </c>
      <c r="C17" s="1">
        <v>-40.399804000000003</v>
      </c>
      <c r="D17" s="5"/>
      <c r="E17" s="5" t="s">
        <v>78</v>
      </c>
      <c r="F17" s="5">
        <v>-40.348820000000003</v>
      </c>
      <c r="G17" s="5">
        <v>-40.397930000000002</v>
      </c>
      <c r="H17" s="5"/>
      <c r="I17" s="5" t="s">
        <v>78</v>
      </c>
      <c r="J17" s="5">
        <v>-40.356499999999997</v>
      </c>
      <c r="K17" s="5">
        <v>-40.405614999999997</v>
      </c>
    </row>
    <row r="18" spans="1:20" x14ac:dyDescent="0.3">
      <c r="A18" s="5" t="s">
        <v>67</v>
      </c>
      <c r="B18" s="1">
        <v>-75.549256</v>
      </c>
      <c r="C18" s="1">
        <v>-75.634604999999993</v>
      </c>
      <c r="D18" s="5"/>
      <c r="E18" s="5" t="s">
        <v>67</v>
      </c>
      <c r="F18" s="1">
        <v>-75.547572000000002</v>
      </c>
      <c r="G18" s="1">
        <v>-75.632920999999996</v>
      </c>
      <c r="H18" s="5"/>
      <c r="I18" s="5" t="s">
        <v>67</v>
      </c>
      <c r="J18" s="1">
        <v>-75.554440999999997</v>
      </c>
      <c r="K18" s="1">
        <v>-75.639787999999996</v>
      </c>
    </row>
    <row r="19" spans="1:20" x14ac:dyDescent="0.3">
      <c r="A19" s="5" t="s">
        <v>68</v>
      </c>
      <c r="B19" s="6">
        <f>(B17+B18-B16)*627.5095*-1</f>
        <v>15.672049762489671</v>
      </c>
      <c r="C19" s="6">
        <f>(C17+C18-C16)*627.5095*-1</f>
        <v>12.741580397495831</v>
      </c>
      <c r="D19" s="5"/>
      <c r="E19" s="5" t="s">
        <v>68</v>
      </c>
      <c r="F19" s="6">
        <f>(F17+F18-F16)*627.5095*-1</f>
        <v>15.1512168775027</v>
      </c>
      <c r="G19" s="6">
        <f>(G17+G18-G16)*627.5095*-1</f>
        <v>12.251495478002569</v>
      </c>
      <c r="H19" s="5"/>
      <c r="I19" s="5" t="s">
        <v>68</v>
      </c>
      <c r="J19" s="6">
        <f>(J17+J18-J16)*627.5095*-1</f>
        <v>17.229528341498927</v>
      </c>
      <c r="K19" s="6">
        <f>(K17+K18-K16)*627.5095*-1</f>
        <v>14.208070098994041</v>
      </c>
    </row>
    <row r="20" spans="1:20" x14ac:dyDescent="0.3">
      <c r="A20" s="5" t="s">
        <v>76</v>
      </c>
      <c r="B20" t="s">
        <v>85</v>
      </c>
      <c r="C20" t="s">
        <v>86</v>
      </c>
      <c r="E20" s="5" t="s">
        <v>76</v>
      </c>
      <c r="F20" t="s">
        <v>87</v>
      </c>
      <c r="G20" t="s">
        <v>88</v>
      </c>
      <c r="I20" s="5" t="s">
        <v>76</v>
      </c>
      <c r="J20" t="s">
        <v>89</v>
      </c>
      <c r="K20" t="s">
        <v>90</v>
      </c>
    </row>
    <row r="25" spans="1:20" x14ac:dyDescent="0.3">
      <c r="D25" t="s">
        <v>93</v>
      </c>
      <c r="E25" t="s">
        <v>92</v>
      </c>
      <c r="F25" t="s">
        <v>98</v>
      </c>
      <c r="I25">
        <v>3.5539999999999998</v>
      </c>
      <c r="J25">
        <v>3.661</v>
      </c>
      <c r="K25">
        <v>2.67</v>
      </c>
      <c r="P25" s="5">
        <v>3.5539999999999998</v>
      </c>
      <c r="Q25" s="5">
        <v>4</v>
      </c>
      <c r="R25">
        <v>2.5</v>
      </c>
      <c r="S25">
        <v>3.661</v>
      </c>
      <c r="T25">
        <v>2.67</v>
      </c>
    </row>
    <row r="26" spans="1:20" x14ac:dyDescent="0.3">
      <c r="A26" t="s">
        <v>91</v>
      </c>
      <c r="B26" t="s">
        <v>93</v>
      </c>
      <c r="D26">
        <v>3.3540000000000001</v>
      </c>
      <c r="E26">
        <v>-38.22</v>
      </c>
      <c r="F26">
        <v>-51.45</v>
      </c>
      <c r="H26" t="s">
        <v>99</v>
      </c>
      <c r="I26">
        <v>-38.22</v>
      </c>
      <c r="J26">
        <v>-38.130000000000003</v>
      </c>
      <c r="K26">
        <v>-34.520000000000003</v>
      </c>
      <c r="O26" t="s">
        <v>65</v>
      </c>
      <c r="P26" t="s">
        <v>101</v>
      </c>
      <c r="Q26" s="5" t="s">
        <v>100</v>
      </c>
      <c r="R26" t="s">
        <v>102</v>
      </c>
      <c r="S26" t="s">
        <v>103</v>
      </c>
      <c r="T26" t="s">
        <v>104</v>
      </c>
    </row>
    <row r="27" spans="1:20" x14ac:dyDescent="0.3">
      <c r="A27" t="s">
        <v>94</v>
      </c>
      <c r="D27">
        <v>3.661</v>
      </c>
      <c r="E27">
        <v>-38.130000000000003</v>
      </c>
      <c r="F27">
        <v>-59.69</v>
      </c>
      <c r="H27" t="s">
        <v>65</v>
      </c>
      <c r="I27">
        <v>-32.700000000000003</v>
      </c>
      <c r="J27">
        <v>-33.08</v>
      </c>
      <c r="K27">
        <v>-31.25</v>
      </c>
    </row>
    <row r="28" spans="1:20" x14ac:dyDescent="0.3">
      <c r="D28">
        <v>2.67</v>
      </c>
      <c r="E28">
        <v>-34.520000000000003</v>
      </c>
      <c r="F28">
        <v>-57.14</v>
      </c>
    </row>
    <row r="29" spans="1:20" x14ac:dyDescent="0.3">
      <c r="O29" t="s">
        <v>105</v>
      </c>
      <c r="P29" s="5">
        <v>3.5539999999999998</v>
      </c>
      <c r="Q29" s="5">
        <v>4</v>
      </c>
      <c r="R29" s="5">
        <v>2.5</v>
      </c>
      <c r="S29">
        <v>3.661</v>
      </c>
      <c r="T29">
        <v>2.67</v>
      </c>
    </row>
    <row r="30" spans="1:20" x14ac:dyDescent="0.3">
      <c r="H30" s="5"/>
      <c r="I30" s="5">
        <v>3.5539999999999998</v>
      </c>
      <c r="J30" s="5">
        <v>3.661</v>
      </c>
      <c r="K30" s="5">
        <v>2.67</v>
      </c>
      <c r="O30" t="s">
        <v>65</v>
      </c>
      <c r="P30">
        <v>-32.700000000000003</v>
      </c>
      <c r="Q30">
        <v>-33.83</v>
      </c>
      <c r="R30">
        <v>-30.99</v>
      </c>
      <c r="S30">
        <v>-33.08</v>
      </c>
      <c r="T30">
        <v>-31.25</v>
      </c>
    </row>
    <row r="31" spans="1:20" x14ac:dyDescent="0.3">
      <c r="H31" s="5" t="s">
        <v>99</v>
      </c>
      <c r="I31" s="5">
        <v>-34.090000000000003</v>
      </c>
      <c r="J31" s="5">
        <v>-35.18</v>
      </c>
      <c r="K31" s="5">
        <v>-32.1</v>
      </c>
      <c r="O31" t="s">
        <v>99</v>
      </c>
      <c r="P31">
        <v>-39.159999999999997</v>
      </c>
      <c r="S31">
        <v>-40.520000000000003</v>
      </c>
      <c r="T31">
        <v>-36.14</v>
      </c>
    </row>
    <row r="32" spans="1:20" x14ac:dyDescent="0.3">
      <c r="H32" s="5" t="s">
        <v>65</v>
      </c>
      <c r="I32" s="5">
        <v>-32.700000000000003</v>
      </c>
      <c r="J32" s="5">
        <v>-33.08</v>
      </c>
      <c r="K32" s="5">
        <v>-31.25</v>
      </c>
    </row>
    <row r="36" spans="15:23" x14ac:dyDescent="0.3">
      <c r="P36" s="5">
        <v>3.5539999999999998</v>
      </c>
      <c r="Q36" s="5">
        <v>3.661</v>
      </c>
      <c r="R36" s="5">
        <v>2.67</v>
      </c>
      <c r="T36" s="5"/>
      <c r="U36" s="5">
        <v>3.5539999999999998</v>
      </c>
      <c r="V36" s="5">
        <v>3.661</v>
      </c>
      <c r="W36" s="5">
        <v>2.67</v>
      </c>
    </row>
    <row r="37" spans="15:23" x14ac:dyDescent="0.3">
      <c r="O37" s="5" t="s">
        <v>65</v>
      </c>
      <c r="P37" s="5">
        <v>-32.700000000000003</v>
      </c>
      <c r="Q37" s="5">
        <v>-33.08</v>
      </c>
      <c r="R37" s="5">
        <v>-31.25</v>
      </c>
      <c r="T37" s="5" t="s">
        <v>65</v>
      </c>
      <c r="U37" s="5">
        <v>-32.700000000000003</v>
      </c>
      <c r="V37" s="5">
        <v>-33.08</v>
      </c>
      <c r="W37" s="5">
        <v>-31.25</v>
      </c>
    </row>
    <row r="38" spans="15:23" x14ac:dyDescent="0.3">
      <c r="O38" s="5" t="s">
        <v>99</v>
      </c>
      <c r="P38" s="5">
        <v>-39.159999999999997</v>
      </c>
      <c r="Q38" s="5">
        <v>-40.520000000000003</v>
      </c>
      <c r="R38" s="5">
        <v>-36.14</v>
      </c>
      <c r="T38" t="s">
        <v>99</v>
      </c>
      <c r="U38">
        <v>-34.090000000000003</v>
      </c>
      <c r="V38">
        <v>-35.18</v>
      </c>
      <c r="W38">
        <v>-32.1</v>
      </c>
    </row>
    <row r="53" spans="5:8" x14ac:dyDescent="0.3">
      <c r="F53" s="5">
        <v>3.5539999999999998</v>
      </c>
      <c r="G53" s="5">
        <v>3.661</v>
      </c>
      <c r="H53" s="5">
        <v>2.67</v>
      </c>
    </row>
    <row r="54" spans="5:8" x14ac:dyDescent="0.3">
      <c r="E54" s="5" t="s">
        <v>99</v>
      </c>
      <c r="F54" s="5">
        <v>-39.159999999999997</v>
      </c>
      <c r="G54" s="5">
        <v>-40.520000000000003</v>
      </c>
      <c r="H54" s="5">
        <v>-36.14</v>
      </c>
    </row>
    <row r="57" spans="5:8" x14ac:dyDescent="0.3">
      <c r="F57" s="5">
        <v>3.5539999999999998</v>
      </c>
      <c r="G57" s="5">
        <v>3.661</v>
      </c>
      <c r="H57" s="5">
        <v>2.67</v>
      </c>
    </row>
    <row r="58" spans="5:8" x14ac:dyDescent="0.3">
      <c r="E58" s="5" t="s">
        <v>99</v>
      </c>
      <c r="F58" s="5">
        <v>-34.090000000000003</v>
      </c>
      <c r="G58" s="5">
        <v>-35.18</v>
      </c>
      <c r="H58" s="5">
        <v>-32.1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EA1D-505A-455E-A5AF-AB3EC0F9AEB2}">
  <dimension ref="A1:V35"/>
  <sheetViews>
    <sheetView workbookViewId="0">
      <selection activeCell="K31" sqref="K31"/>
    </sheetView>
  </sheetViews>
  <sheetFormatPr defaultRowHeight="16.2" x14ac:dyDescent="0.3"/>
  <cols>
    <col min="1" max="1" width="18.6640625" customWidth="1"/>
    <col min="15" max="15" width="11.88671875" customWidth="1"/>
    <col min="20" max="20" width="18.33203125" customWidth="1"/>
  </cols>
  <sheetData>
    <row r="1" spans="1:21" x14ac:dyDescent="0.3">
      <c r="A1" t="s">
        <v>9</v>
      </c>
      <c r="B1" t="s">
        <v>110</v>
      </c>
      <c r="C1" t="s">
        <v>111</v>
      </c>
      <c r="D1" t="s">
        <v>112</v>
      </c>
      <c r="E1" t="s">
        <v>113</v>
      </c>
      <c r="F1" t="s">
        <v>114</v>
      </c>
      <c r="G1" t="s">
        <v>115</v>
      </c>
      <c r="H1" t="s">
        <v>116</v>
      </c>
      <c r="I1" t="s">
        <v>117</v>
      </c>
      <c r="J1" t="s">
        <v>118</v>
      </c>
      <c r="K1" t="s">
        <v>119</v>
      </c>
      <c r="L1" t="s">
        <v>120</v>
      </c>
      <c r="M1" t="s">
        <v>121</v>
      </c>
      <c r="N1" t="s">
        <v>122</v>
      </c>
      <c r="O1" t="s">
        <v>135</v>
      </c>
    </row>
    <row r="2" spans="1:21" x14ac:dyDescent="0.3">
      <c r="A2" t="s">
        <v>123</v>
      </c>
      <c r="B2">
        <v>10.199999999999999</v>
      </c>
      <c r="C2">
        <v>11.2</v>
      </c>
      <c r="D2">
        <v>11.2</v>
      </c>
      <c r="E2">
        <v>11.2</v>
      </c>
      <c r="F2">
        <v>17.399999999999999</v>
      </c>
      <c r="G2">
        <v>25.5</v>
      </c>
      <c r="H2">
        <v>25.5</v>
      </c>
      <c r="I2">
        <v>25.5</v>
      </c>
      <c r="J2">
        <v>25.5</v>
      </c>
      <c r="K2">
        <v>25.5</v>
      </c>
      <c r="L2">
        <v>28.8</v>
      </c>
      <c r="M2">
        <v>28.8</v>
      </c>
      <c r="N2">
        <v>28.8</v>
      </c>
      <c r="O2">
        <f>(B2+C2+D2+E2++F2+G2+H2+I2+J2+K2+L2+M2+N2-B8-C8-D8-E8-F8-G8-H8-I8-J8-K8-L8-M8-N8)</f>
        <v>125.40000000000012</v>
      </c>
    </row>
    <row r="3" spans="1:21" x14ac:dyDescent="0.3">
      <c r="A3" s="5" t="s">
        <v>124</v>
      </c>
      <c r="B3">
        <v>10.199999999999999</v>
      </c>
      <c r="C3">
        <v>10.199999999999999</v>
      </c>
      <c r="D3">
        <v>10.199999999999999</v>
      </c>
      <c r="E3">
        <v>10.199999999999999</v>
      </c>
      <c r="F3">
        <v>12.2</v>
      </c>
      <c r="G3">
        <v>14.2</v>
      </c>
      <c r="H3">
        <v>14.2</v>
      </c>
      <c r="I3">
        <v>14.2</v>
      </c>
      <c r="J3">
        <v>14.7</v>
      </c>
      <c r="K3">
        <v>14.7</v>
      </c>
      <c r="L3">
        <v>14.7</v>
      </c>
      <c r="M3">
        <v>14.7</v>
      </c>
      <c r="N3">
        <v>14.7</v>
      </c>
      <c r="O3" s="5">
        <f>(B3+C3+D3+E3+F3+G3+H3+I3+J3+K3+L3+M3+N3-B8-C8-D8-E8-F8-G8-H8-I8-J8-K8-L8-M8-N8)</f>
        <v>19.400000000000063</v>
      </c>
    </row>
    <row r="4" spans="1:21" x14ac:dyDescent="0.3">
      <c r="A4" t="s">
        <v>125</v>
      </c>
      <c r="B4">
        <v>10.199999999999999</v>
      </c>
      <c r="C4">
        <v>10.199999999999999</v>
      </c>
      <c r="D4">
        <v>10.199999999999999</v>
      </c>
      <c r="E4">
        <v>10.199999999999999</v>
      </c>
      <c r="F4">
        <v>12.1</v>
      </c>
      <c r="G4">
        <v>13.5</v>
      </c>
      <c r="H4">
        <v>13.5</v>
      </c>
      <c r="I4">
        <v>13.5</v>
      </c>
      <c r="J4">
        <v>13.8</v>
      </c>
      <c r="K4">
        <v>13.8</v>
      </c>
      <c r="L4">
        <v>13.8</v>
      </c>
      <c r="M4">
        <v>13.8</v>
      </c>
      <c r="N4">
        <v>13.8</v>
      </c>
      <c r="O4" s="5">
        <f>(C4+B4+D4+E4+F4+G4+H4+I4+J4+K4+L4+M4+N4-B8-C8-D8-E8-F8-G8-H8-I8-J8-K8-L8-M8-N8)</f>
        <v>12.700000000000083</v>
      </c>
    </row>
    <row r="5" spans="1:21" x14ac:dyDescent="0.3">
      <c r="A5" t="s">
        <v>126</v>
      </c>
      <c r="B5">
        <v>10.199999999999999</v>
      </c>
      <c r="C5">
        <v>10.199999999999999</v>
      </c>
      <c r="D5">
        <v>10.199999999999999</v>
      </c>
      <c r="E5">
        <v>10.199999999999999</v>
      </c>
      <c r="F5">
        <v>12.1</v>
      </c>
      <c r="G5">
        <v>13.1</v>
      </c>
      <c r="H5">
        <v>13.1</v>
      </c>
      <c r="I5">
        <v>13.1</v>
      </c>
      <c r="J5">
        <v>13.3</v>
      </c>
      <c r="K5">
        <v>13.3</v>
      </c>
      <c r="L5">
        <v>13.3</v>
      </c>
      <c r="M5">
        <v>13.3</v>
      </c>
      <c r="N5">
        <v>13.3</v>
      </c>
      <c r="O5" s="5">
        <f>(B5+C5+D5+E5+F5+G5+H5+I5+J5+K5+L5+M5+N5-B8-C8-D8-E8-F8-G8-H8-I8-J8-K8-L8-M8-N8)</f>
        <v>9.0000000000000657</v>
      </c>
    </row>
    <row r="6" spans="1:21" x14ac:dyDescent="0.3">
      <c r="A6" t="s">
        <v>128</v>
      </c>
      <c r="B6">
        <v>10.199999999999999</v>
      </c>
      <c r="C6">
        <v>10.199999999999999</v>
      </c>
      <c r="D6">
        <v>10.199999999999999</v>
      </c>
      <c r="E6">
        <v>10.199999999999999</v>
      </c>
      <c r="F6">
        <v>12.1</v>
      </c>
      <c r="G6">
        <v>12.1</v>
      </c>
      <c r="H6">
        <v>12.1</v>
      </c>
      <c r="I6">
        <v>12.1</v>
      </c>
      <c r="J6">
        <v>12.8</v>
      </c>
      <c r="K6">
        <v>13.1</v>
      </c>
      <c r="L6">
        <v>13.1</v>
      </c>
      <c r="M6">
        <v>13.1</v>
      </c>
      <c r="N6">
        <v>13.1</v>
      </c>
      <c r="O6" s="5">
        <f>(B6+C6+D6+E6+F6+H6+G6+I6+J6+K6+L6+M6+N6--B8-C8-D8-E8-F8-G8-H8-I8-J8-K8-L8-M8-N8)</f>
        <v>25.100000000000023</v>
      </c>
    </row>
    <row r="7" spans="1:21" x14ac:dyDescent="0.3">
      <c r="A7" t="s">
        <v>127</v>
      </c>
      <c r="B7">
        <v>10.199999999999999</v>
      </c>
      <c r="C7">
        <v>10.199999999999999</v>
      </c>
      <c r="D7">
        <v>10.199999999999999</v>
      </c>
      <c r="E7">
        <v>10.199999999999999</v>
      </c>
      <c r="F7">
        <v>12.1</v>
      </c>
      <c r="G7">
        <v>12.8</v>
      </c>
      <c r="H7">
        <v>12.8</v>
      </c>
      <c r="I7">
        <v>12.8</v>
      </c>
      <c r="J7">
        <v>12.8</v>
      </c>
      <c r="K7">
        <v>12.8</v>
      </c>
      <c r="L7">
        <v>12.9</v>
      </c>
      <c r="M7">
        <v>12.9</v>
      </c>
      <c r="N7">
        <v>12.9</v>
      </c>
      <c r="O7" s="5">
        <f>(B7+C7+D7+E7+F7+G7+H7+I7+J7+K7+L7+M7+N7--B8-C8-D8-E8-F8-G8-H8-I8-J8-K8-L8-M8-N8)</f>
        <v>26.30000000000004</v>
      </c>
    </row>
    <row r="8" spans="1:21" x14ac:dyDescent="0.3">
      <c r="A8" t="s">
        <v>65</v>
      </c>
      <c r="B8">
        <v>10.199999999999999</v>
      </c>
      <c r="C8">
        <v>10.199999999999999</v>
      </c>
      <c r="D8">
        <v>10.199999999999999</v>
      </c>
      <c r="E8">
        <v>10.199999999999999</v>
      </c>
      <c r="F8">
        <v>12.1</v>
      </c>
      <c r="G8">
        <v>12.1</v>
      </c>
      <c r="H8">
        <v>12.1</v>
      </c>
      <c r="I8">
        <v>12.1</v>
      </c>
      <c r="J8">
        <v>12.1</v>
      </c>
      <c r="K8">
        <v>12.1</v>
      </c>
      <c r="L8">
        <v>12.1</v>
      </c>
      <c r="M8">
        <v>12.1</v>
      </c>
      <c r="N8">
        <v>12.1</v>
      </c>
      <c r="O8" s="5"/>
    </row>
    <row r="10" spans="1:21" x14ac:dyDescent="0.3">
      <c r="A10" t="s">
        <v>130</v>
      </c>
      <c r="B10" t="s">
        <v>110</v>
      </c>
      <c r="C10" t="s">
        <v>111</v>
      </c>
      <c r="D10" t="s">
        <v>129</v>
      </c>
      <c r="E10" t="s">
        <v>113</v>
      </c>
      <c r="F10" t="s">
        <v>114</v>
      </c>
      <c r="G10" t="s">
        <v>137</v>
      </c>
    </row>
    <row r="11" spans="1:21" x14ac:dyDescent="0.3">
      <c r="A11" t="s">
        <v>123</v>
      </c>
      <c r="B11">
        <v>21.6</v>
      </c>
      <c r="C11">
        <v>26.1</v>
      </c>
      <c r="D11">
        <v>26.1</v>
      </c>
      <c r="E11">
        <v>26.1</v>
      </c>
      <c r="F11">
        <v>38.4</v>
      </c>
      <c r="G11">
        <f>(B11+C11+D11+E11-B17-C17-D17-E17)</f>
        <v>15.700000000000006</v>
      </c>
    </row>
    <row r="12" spans="1:21" x14ac:dyDescent="0.3">
      <c r="A12" s="5" t="s">
        <v>124</v>
      </c>
      <c r="B12">
        <v>21.1</v>
      </c>
      <c r="C12">
        <v>22.1</v>
      </c>
      <c r="D12">
        <v>22.1</v>
      </c>
      <c r="E12">
        <v>22.1</v>
      </c>
      <c r="F12">
        <v>24.2</v>
      </c>
      <c r="G12">
        <f>(B12+C12+D12+E12-B17-C17-D17-E17)</f>
        <v>3.2000000000000099</v>
      </c>
      <c r="T12" s="5" t="s">
        <v>138</v>
      </c>
      <c r="U12" t="s">
        <v>135</v>
      </c>
    </row>
    <row r="13" spans="1:21" x14ac:dyDescent="0.3">
      <c r="A13" s="5" t="s">
        <v>125</v>
      </c>
      <c r="B13">
        <v>21.1</v>
      </c>
      <c r="C13">
        <v>21.9</v>
      </c>
      <c r="D13">
        <v>21.9</v>
      </c>
      <c r="E13">
        <v>21.9</v>
      </c>
      <c r="F13">
        <v>24</v>
      </c>
      <c r="G13">
        <f>(B13+C13+D13+E13-B17-C17-D17-E17)</f>
        <v>2.6000000000000156</v>
      </c>
      <c r="T13" s="5" t="s">
        <v>123</v>
      </c>
      <c r="U13">
        <v>125.4</v>
      </c>
    </row>
    <row r="14" spans="1:21" x14ac:dyDescent="0.3">
      <c r="A14" s="5" t="s">
        <v>126</v>
      </c>
      <c r="B14">
        <v>21.1</v>
      </c>
      <c r="C14">
        <v>21.8</v>
      </c>
      <c r="D14">
        <v>21.8</v>
      </c>
      <c r="E14">
        <v>21.8</v>
      </c>
      <c r="F14">
        <v>23.9</v>
      </c>
      <c r="G14">
        <f>(B14+C14+D14+E14-B17-C17-D17-E17)</f>
        <v>2.3000000000000043</v>
      </c>
      <c r="T14" s="5" t="s">
        <v>124</v>
      </c>
      <c r="U14">
        <v>19.399999999999999</v>
      </c>
    </row>
    <row r="15" spans="1:21" x14ac:dyDescent="0.3">
      <c r="A15" s="5" t="s">
        <v>132</v>
      </c>
      <c r="B15">
        <v>21.1</v>
      </c>
      <c r="C15">
        <v>21.7</v>
      </c>
      <c r="D15">
        <v>21.7</v>
      </c>
      <c r="E15">
        <v>21.7</v>
      </c>
      <c r="F15">
        <v>23.3</v>
      </c>
      <c r="G15">
        <f>(B15+C15+D15+E15-B17-C17-D17-E17)</f>
        <v>1.9999999999999929</v>
      </c>
      <c r="T15" s="5" t="s">
        <v>125</v>
      </c>
      <c r="U15">
        <v>12.7</v>
      </c>
    </row>
    <row r="16" spans="1:21" x14ac:dyDescent="0.3">
      <c r="A16" s="5" t="s">
        <v>133</v>
      </c>
      <c r="B16">
        <v>21.1</v>
      </c>
      <c r="C16">
        <v>21.7</v>
      </c>
      <c r="D16">
        <v>21.7</v>
      </c>
      <c r="E16">
        <v>21.7</v>
      </c>
      <c r="F16">
        <v>23.3</v>
      </c>
      <c r="G16">
        <f>(B16+C16+D16+E16-B17-C17-D17-E17)</f>
        <v>1.9999999999999929</v>
      </c>
      <c r="T16" s="5" t="s">
        <v>126</v>
      </c>
      <c r="U16">
        <v>9</v>
      </c>
    </row>
    <row r="17" spans="1:22" x14ac:dyDescent="0.3">
      <c r="A17" s="5" t="s">
        <v>134</v>
      </c>
      <c r="B17" s="5">
        <v>20.6</v>
      </c>
      <c r="C17" s="5">
        <v>21.2</v>
      </c>
      <c r="D17" s="5">
        <v>21.2</v>
      </c>
      <c r="E17" s="5">
        <v>21.2</v>
      </c>
      <c r="T17" s="5" t="s">
        <v>128</v>
      </c>
      <c r="U17">
        <v>25.1</v>
      </c>
    </row>
    <row r="18" spans="1:22" x14ac:dyDescent="0.3">
      <c r="T18" s="5" t="s">
        <v>127</v>
      </c>
      <c r="U18">
        <v>26.3</v>
      </c>
    </row>
    <row r="20" spans="1:22" x14ac:dyDescent="0.3">
      <c r="A20" s="5" t="s">
        <v>131</v>
      </c>
      <c r="B20" s="5" t="s">
        <v>110</v>
      </c>
      <c r="C20" s="5" t="s">
        <v>111</v>
      </c>
      <c r="D20" s="5" t="s">
        <v>129</v>
      </c>
      <c r="E20" s="5" t="s">
        <v>113</v>
      </c>
      <c r="F20" s="5" t="s">
        <v>114</v>
      </c>
      <c r="G20" s="5" t="s">
        <v>137</v>
      </c>
    </row>
    <row r="21" spans="1:22" x14ac:dyDescent="0.3">
      <c r="A21" s="5" t="s">
        <v>123</v>
      </c>
      <c r="B21">
        <v>21.6</v>
      </c>
      <c r="C21">
        <v>26.1</v>
      </c>
      <c r="D21">
        <v>26.1</v>
      </c>
      <c r="E21">
        <v>26.1</v>
      </c>
      <c r="F21">
        <v>38.4</v>
      </c>
      <c r="G21">
        <f>(B21+C21+D21+E21-B27-C27-D27-E27)</f>
        <v>15.700000000000006</v>
      </c>
      <c r="T21" s="5" t="s">
        <v>130</v>
      </c>
      <c r="U21" t="s">
        <v>114</v>
      </c>
      <c r="V21" t="s">
        <v>136</v>
      </c>
    </row>
    <row r="22" spans="1:22" x14ac:dyDescent="0.3">
      <c r="A22" s="5" t="s">
        <v>124</v>
      </c>
      <c r="B22">
        <v>21.1</v>
      </c>
      <c r="C22">
        <v>22.1</v>
      </c>
      <c r="D22">
        <v>22.1</v>
      </c>
      <c r="E22">
        <v>22.1</v>
      </c>
      <c r="F22">
        <v>24.2</v>
      </c>
      <c r="G22">
        <f>(B22+C22+D22+E22-B27-C27-D27-E27)</f>
        <v>3.2000000000000099</v>
      </c>
      <c r="T22" s="5" t="s">
        <v>123</v>
      </c>
      <c r="U22">
        <v>38.4</v>
      </c>
      <c r="V22">
        <v>15.7</v>
      </c>
    </row>
    <row r="23" spans="1:22" x14ac:dyDescent="0.3">
      <c r="A23" s="5" t="s">
        <v>125</v>
      </c>
      <c r="B23">
        <v>21.1</v>
      </c>
      <c r="C23">
        <v>21.9</v>
      </c>
      <c r="D23">
        <v>21.9</v>
      </c>
      <c r="E23">
        <v>21.9</v>
      </c>
      <c r="F23" s="6">
        <v>24</v>
      </c>
      <c r="G23">
        <f>(B23+C23+D23+E23-B27-C27-D27-E27)</f>
        <v>2.6000000000000156</v>
      </c>
      <c r="T23" s="5" t="s">
        <v>124</v>
      </c>
      <c r="U23">
        <v>24.2</v>
      </c>
      <c r="V23">
        <v>3.2</v>
      </c>
    </row>
    <row r="24" spans="1:22" x14ac:dyDescent="0.3">
      <c r="A24" s="5" t="s">
        <v>126</v>
      </c>
      <c r="B24">
        <v>21.1</v>
      </c>
      <c r="C24">
        <v>21.8</v>
      </c>
      <c r="D24">
        <v>21.8</v>
      </c>
      <c r="E24">
        <v>21.8</v>
      </c>
      <c r="F24">
        <v>23.9</v>
      </c>
      <c r="G24">
        <f>(B24+C24+D24+E24-B27-C27-D27-E27)</f>
        <v>2.3000000000000043</v>
      </c>
      <c r="T24" s="5" t="s">
        <v>125</v>
      </c>
      <c r="U24">
        <v>24</v>
      </c>
      <c r="V24">
        <v>2.6</v>
      </c>
    </row>
    <row r="25" spans="1:22" x14ac:dyDescent="0.3">
      <c r="A25" s="5" t="s">
        <v>132</v>
      </c>
      <c r="B25">
        <v>20.8</v>
      </c>
      <c r="C25">
        <v>21.4</v>
      </c>
      <c r="D25">
        <v>21.4</v>
      </c>
      <c r="E25">
        <v>21.4</v>
      </c>
      <c r="F25">
        <v>23</v>
      </c>
      <c r="G25">
        <f>(B25+C25+D25+E25-B27-C27-D27-E27)</f>
        <v>0.80000000000000426</v>
      </c>
      <c r="T25" s="5" t="s">
        <v>126</v>
      </c>
      <c r="U25">
        <v>23.9</v>
      </c>
      <c r="V25">
        <v>2.2999999999999998</v>
      </c>
    </row>
    <row r="26" spans="1:22" x14ac:dyDescent="0.3">
      <c r="A26" s="5" t="s">
        <v>133</v>
      </c>
      <c r="B26">
        <v>20.8</v>
      </c>
      <c r="C26">
        <v>21.4</v>
      </c>
      <c r="D26">
        <v>21.4</v>
      </c>
      <c r="E26">
        <v>21.4</v>
      </c>
      <c r="F26">
        <v>23</v>
      </c>
      <c r="G26">
        <f>(B26+C26+D26+E26-B27-C27-D27-E27)</f>
        <v>0.80000000000000426</v>
      </c>
      <c r="T26" s="5" t="s">
        <v>132</v>
      </c>
      <c r="U26">
        <v>23.3</v>
      </c>
      <c r="V26">
        <v>2</v>
      </c>
    </row>
    <row r="27" spans="1:22" x14ac:dyDescent="0.3">
      <c r="A27" t="s">
        <v>134</v>
      </c>
      <c r="B27">
        <v>20.6</v>
      </c>
      <c r="C27">
        <v>21.2</v>
      </c>
      <c r="D27">
        <v>21.2</v>
      </c>
      <c r="E27">
        <v>21.2</v>
      </c>
      <c r="T27" s="5" t="s">
        <v>133</v>
      </c>
      <c r="U27">
        <v>23.3</v>
      </c>
      <c r="V27">
        <v>2</v>
      </c>
    </row>
    <row r="29" spans="1:22" x14ac:dyDescent="0.3">
      <c r="T29" s="5" t="s">
        <v>131</v>
      </c>
      <c r="U29" s="5" t="s">
        <v>114</v>
      </c>
      <c r="V29" s="5" t="s">
        <v>136</v>
      </c>
    </row>
    <row r="30" spans="1:22" x14ac:dyDescent="0.3">
      <c r="T30" s="5" t="s">
        <v>123</v>
      </c>
      <c r="U30" s="5">
        <v>38.4</v>
      </c>
      <c r="V30">
        <v>15.7</v>
      </c>
    </row>
    <row r="31" spans="1:22" x14ac:dyDescent="0.3">
      <c r="T31" s="5" t="s">
        <v>124</v>
      </c>
      <c r="U31" s="5">
        <v>24.2</v>
      </c>
      <c r="V31">
        <v>3.2</v>
      </c>
    </row>
    <row r="32" spans="1:22" x14ac:dyDescent="0.3">
      <c r="T32" s="5" t="s">
        <v>125</v>
      </c>
      <c r="U32" s="6">
        <v>24</v>
      </c>
      <c r="V32">
        <v>2.6</v>
      </c>
    </row>
    <row r="33" spans="20:22" x14ac:dyDescent="0.3">
      <c r="T33" s="5" t="s">
        <v>126</v>
      </c>
      <c r="U33" s="5">
        <v>23.9</v>
      </c>
      <c r="V33">
        <v>2.2999999999999998</v>
      </c>
    </row>
    <row r="34" spans="20:22" x14ac:dyDescent="0.3">
      <c r="T34" s="5" t="s">
        <v>132</v>
      </c>
      <c r="U34" s="5">
        <v>23</v>
      </c>
      <c r="V34">
        <v>0.8</v>
      </c>
    </row>
    <row r="35" spans="20:22" x14ac:dyDescent="0.3">
      <c r="T35" s="5" t="s">
        <v>133</v>
      </c>
      <c r="U35" s="5">
        <v>23</v>
      </c>
      <c r="V35">
        <v>0.8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8E7C-77B9-4AE2-958A-5B96A2D7E67C}">
  <dimension ref="A1:F17"/>
  <sheetViews>
    <sheetView workbookViewId="0">
      <selection activeCell="E16" sqref="E16"/>
    </sheetView>
  </sheetViews>
  <sheetFormatPr defaultRowHeight="16.2" x14ac:dyDescent="0.3"/>
  <cols>
    <col min="1" max="1" width="12.77734375" customWidth="1"/>
    <col min="2" max="2" width="13" customWidth="1"/>
    <col min="3" max="3" width="12.44140625" customWidth="1"/>
    <col min="4" max="4" width="11.21875" bestFit="1" customWidth="1"/>
    <col min="5" max="5" width="11.109375" customWidth="1"/>
    <col min="6" max="6" width="13.44140625" customWidth="1"/>
  </cols>
  <sheetData>
    <row r="1" spans="1:6" x14ac:dyDescent="0.3">
      <c r="A1" t="s">
        <v>142</v>
      </c>
      <c r="B1" s="7" t="s">
        <v>143</v>
      </c>
      <c r="C1" t="s">
        <v>144</v>
      </c>
      <c r="D1" t="s">
        <v>145</v>
      </c>
      <c r="E1" s="5" t="s">
        <v>147</v>
      </c>
      <c r="F1" t="s">
        <v>148</v>
      </c>
    </row>
    <row r="2" spans="1:6" x14ac:dyDescent="0.3">
      <c r="A2" t="s">
        <v>139</v>
      </c>
      <c r="B2">
        <v>-74.794545650000003</v>
      </c>
      <c r="C2">
        <v>-74.719663740000001</v>
      </c>
      <c r="D2">
        <v>-74.655580119999996</v>
      </c>
      <c r="E2" s="4">
        <f>(C2-B2)*27.2107</f>
        <v>2.0375891884370541</v>
      </c>
      <c r="F2" s="4">
        <f>(D2-C2)*27.0107</f>
        <v>1.7309434347341413</v>
      </c>
    </row>
    <row r="3" spans="1:6" x14ac:dyDescent="0.3">
      <c r="A3" s="5" t="s">
        <v>65</v>
      </c>
      <c r="E3">
        <v>1.97</v>
      </c>
      <c r="F3">
        <v>2.2200000000000002</v>
      </c>
    </row>
    <row r="7" spans="1:6" x14ac:dyDescent="0.3">
      <c r="A7" t="s">
        <v>140</v>
      </c>
      <c r="B7" t="s">
        <v>110</v>
      </c>
      <c r="C7" t="s">
        <v>111</v>
      </c>
    </row>
    <row r="8" spans="1:6" x14ac:dyDescent="0.3">
      <c r="A8" t="s">
        <v>139</v>
      </c>
      <c r="B8">
        <v>-74.791074219999999</v>
      </c>
      <c r="C8">
        <v>-74.162690909999995</v>
      </c>
    </row>
    <row r="10" spans="1:6" x14ac:dyDescent="0.3">
      <c r="A10" t="s">
        <v>141</v>
      </c>
      <c r="B10" t="s">
        <v>110</v>
      </c>
      <c r="C10" t="s">
        <v>111</v>
      </c>
    </row>
    <row r="11" spans="1:6" x14ac:dyDescent="0.3">
      <c r="A11" t="s">
        <v>139</v>
      </c>
      <c r="B11">
        <v>-74.791076029999999</v>
      </c>
      <c r="C11">
        <v>-74.162692930000006</v>
      </c>
    </row>
    <row r="14" spans="1:6" x14ac:dyDescent="0.3">
      <c r="A14" s="8" t="s">
        <v>149</v>
      </c>
      <c r="B14" s="5" t="s">
        <v>150</v>
      </c>
      <c r="C14" s="5" t="s">
        <v>151</v>
      </c>
      <c r="D14" t="s">
        <v>153</v>
      </c>
      <c r="E14" t="s">
        <v>154</v>
      </c>
    </row>
    <row r="15" spans="1:6" x14ac:dyDescent="0.3">
      <c r="A15" t="s">
        <v>152</v>
      </c>
      <c r="B15">
        <v>-379.87234000000001</v>
      </c>
      <c r="C15">
        <v>-379.85165999999998</v>
      </c>
      <c r="D15">
        <v>-379.76976999999999</v>
      </c>
      <c r="E15">
        <f>(D15-B15)*627.5095</f>
        <v>64.36364941500895</v>
      </c>
    </row>
    <row r="16" spans="1:6" x14ac:dyDescent="0.3">
      <c r="A16" t="s">
        <v>155</v>
      </c>
      <c r="B16">
        <v>-379.71453000000002</v>
      </c>
      <c r="C16">
        <v>-379.77046000000001</v>
      </c>
      <c r="D16" s="9">
        <v>-379.75299999999999</v>
      </c>
      <c r="E16" s="5">
        <f>(D16-B16)*627.5095</f>
        <v>-24.140290464975617</v>
      </c>
    </row>
    <row r="17" spans="1:4" x14ac:dyDescent="0.3">
      <c r="A17" t="s">
        <v>146</v>
      </c>
      <c r="B17" s="6">
        <f>(B16-B15)*627.5095</f>
        <v>99.027274194989687</v>
      </c>
      <c r="C17" s="6">
        <f t="shared" ref="C17:D17" si="0">(C16-C15)*627.5095</f>
        <v>50.953771399979338</v>
      </c>
      <c r="D17" s="6">
        <f t="shared" si="0"/>
        <v>10.523334315005124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A4FF-386B-459D-8C7F-E3C00E246A2F}">
  <dimension ref="A1:F8"/>
  <sheetViews>
    <sheetView tabSelected="1" workbookViewId="0">
      <selection activeCell="F11" sqref="F11"/>
    </sheetView>
  </sheetViews>
  <sheetFormatPr defaultRowHeight="16.2" x14ac:dyDescent="0.3"/>
  <cols>
    <col min="1" max="1" width="24.44140625" customWidth="1"/>
    <col min="2" max="2" width="13.44140625" customWidth="1"/>
    <col min="3" max="3" width="10.33203125" customWidth="1"/>
    <col min="4" max="4" width="11.88671875" bestFit="1" customWidth="1"/>
    <col min="5" max="5" width="10.88671875" bestFit="1" customWidth="1"/>
    <col min="6" max="6" width="13.21875" customWidth="1"/>
  </cols>
  <sheetData>
    <row r="1" spans="1:6" x14ac:dyDescent="0.3">
      <c r="A1" t="s">
        <v>156</v>
      </c>
      <c r="B1" t="s">
        <v>157</v>
      </c>
      <c r="C1" t="s">
        <v>158</v>
      </c>
      <c r="D1" t="s">
        <v>159</v>
      </c>
      <c r="E1" t="s">
        <v>61</v>
      </c>
      <c r="F1" t="s">
        <v>161</v>
      </c>
    </row>
    <row r="2" spans="1:6" x14ac:dyDescent="0.3">
      <c r="A2" t="s">
        <v>160</v>
      </c>
      <c r="B2">
        <v>-139.41718</v>
      </c>
      <c r="C2">
        <v>-99.665948</v>
      </c>
      <c r="D2" s="1">
        <f>(C2+B2)</f>
        <v>-239.08312799999999</v>
      </c>
      <c r="E2" s="1">
        <v>-239.08651</v>
      </c>
      <c r="F2" s="6">
        <f>(E2-D2)*627.5095</f>
        <v>-2.1222371290101689</v>
      </c>
    </row>
    <row r="4" spans="1:6" x14ac:dyDescent="0.3">
      <c r="A4" t="s">
        <v>162</v>
      </c>
      <c r="B4" s="5" t="s">
        <v>157</v>
      </c>
      <c r="C4" s="5" t="s">
        <v>158</v>
      </c>
      <c r="D4" s="5" t="s">
        <v>159</v>
      </c>
      <c r="E4" s="5" t="s">
        <v>61</v>
      </c>
      <c r="F4" s="5" t="s">
        <v>161</v>
      </c>
    </row>
    <row r="5" spans="1:6" x14ac:dyDescent="0.3">
      <c r="A5" t="s">
        <v>160</v>
      </c>
      <c r="B5" s="5">
        <v>-139.41718</v>
      </c>
      <c r="C5">
        <v>-175.96960000000001</v>
      </c>
      <c r="D5">
        <f>(C5+B5)</f>
        <v>-315.38678000000004</v>
      </c>
      <c r="E5">
        <v>-315.37293</v>
      </c>
      <c r="F5">
        <f>(E5-D5)*627.5095</f>
        <v>8.6910065750299061</v>
      </c>
    </row>
    <row r="7" spans="1:6" x14ac:dyDescent="0.3">
      <c r="A7" t="s">
        <v>163</v>
      </c>
      <c r="B7" s="5" t="s">
        <v>157</v>
      </c>
      <c r="C7" s="5" t="s">
        <v>158</v>
      </c>
      <c r="D7" s="5" t="s">
        <v>159</v>
      </c>
      <c r="E7" s="5" t="s">
        <v>61</v>
      </c>
      <c r="F7" s="5" t="s">
        <v>161</v>
      </c>
    </row>
    <row r="8" spans="1:6" x14ac:dyDescent="0.3">
      <c r="A8" t="s">
        <v>160</v>
      </c>
      <c r="B8" s="5">
        <v>-139.33783</v>
      </c>
      <c r="C8">
        <v>-176.08246</v>
      </c>
      <c r="D8">
        <f>(C8+B8)</f>
        <v>-315.42029000000002</v>
      </c>
      <c r="E8">
        <v>-315.46832000000001</v>
      </c>
      <c r="F8">
        <f>(E8-D8)*627.5095</f>
        <v>-30.139281284989281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工作表1</vt:lpstr>
      <vt:lpstr>工作表2</vt:lpstr>
      <vt:lpstr>工作表3</vt:lpstr>
      <vt:lpstr>工作表4</vt:lpstr>
      <vt:lpstr>工作表5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JimChou</dc:creator>
  <cp:lastModifiedBy>JimChou</cp:lastModifiedBy>
  <dcterms:created xsi:type="dcterms:W3CDTF">2023-11-06T15:04:29Z</dcterms:created>
  <dcterms:modified xsi:type="dcterms:W3CDTF">2023-12-22T19:17:37Z</dcterms:modified>
</cp:coreProperties>
</file>