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14055" windowHeight="8100" activeTab="5"/>
  </bookViews>
  <sheets>
    <sheet name="工作表1" sheetId="1" r:id="rId1"/>
    <sheet name="CH4" sheetId="2" r:id="rId2"/>
    <sheet name="MP2_CH4" sheetId="4" r:id="rId3"/>
    <sheet name="NH3" sheetId="3" r:id="rId4"/>
    <sheet name="MP2-NH3" sheetId="5" r:id="rId5"/>
    <sheet name="mix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6" l="1"/>
  <c r="E22" i="6"/>
  <c r="E21" i="6"/>
  <c r="E20" i="6"/>
  <c r="E19" i="6"/>
  <c r="E18" i="6"/>
  <c r="A23" i="6"/>
  <c r="Q24" i="6"/>
  <c r="P24" i="6" s="1"/>
  <c r="Q23" i="6"/>
  <c r="P23" i="6" s="1"/>
  <c r="Q22" i="6"/>
  <c r="P22" i="6" s="1"/>
  <c r="Q21" i="6"/>
  <c r="P21" i="6" s="1"/>
  <c r="Q20" i="6"/>
  <c r="P20" i="6" s="1"/>
  <c r="Q19" i="6"/>
  <c r="P19" i="6"/>
  <c r="Q3" i="6"/>
  <c r="P3" i="6"/>
  <c r="P4" i="6"/>
  <c r="P5" i="6"/>
  <c r="P6" i="6"/>
  <c r="R6" i="6"/>
  <c r="Q6" i="6" s="1"/>
  <c r="R5" i="6"/>
  <c r="R4" i="6"/>
  <c r="Q5" i="6"/>
  <c r="Q4" i="6"/>
  <c r="Q2" i="6"/>
  <c r="P2" i="6"/>
  <c r="R2" i="6"/>
  <c r="A6" i="6" l="1"/>
  <c r="A5" i="6"/>
  <c r="A4" i="6"/>
  <c r="A3" i="6"/>
  <c r="A2" i="6"/>
  <c r="F15" i="2"/>
  <c r="E12" i="2"/>
  <c r="N3" i="2" l="1"/>
  <c r="N5" i="2"/>
  <c r="N6" i="2"/>
  <c r="N2" i="2"/>
  <c r="F25" i="2"/>
  <c r="F20" i="2"/>
  <c r="F10" i="2"/>
  <c r="F5" i="2"/>
  <c r="E22" i="2"/>
  <c r="E17" i="2"/>
  <c r="E7" i="2"/>
  <c r="E2" i="2"/>
  <c r="E22" i="4"/>
  <c r="E17" i="4"/>
  <c r="E12" i="4"/>
  <c r="E7" i="4"/>
  <c r="F10" i="4" s="1"/>
  <c r="E2" i="4"/>
  <c r="I6" i="5" l="1"/>
  <c r="I5" i="5"/>
  <c r="I4" i="5"/>
  <c r="I3" i="5"/>
  <c r="I2" i="5"/>
  <c r="F25" i="4"/>
  <c r="O6" i="4" s="1"/>
  <c r="N6" i="4" s="1"/>
  <c r="F20" i="4"/>
  <c r="F15" i="4"/>
  <c r="O4" i="4" s="1"/>
  <c r="N4" i="4" s="1"/>
  <c r="O3" i="4"/>
  <c r="N3" i="4" s="1"/>
  <c r="F5" i="4"/>
  <c r="O2" i="4" s="1"/>
  <c r="N2" i="4" s="1"/>
  <c r="O5" i="4"/>
  <c r="N5" i="4" s="1"/>
  <c r="E24" i="5"/>
  <c r="E23" i="5"/>
  <c r="E22" i="5"/>
  <c r="E19" i="5"/>
  <c r="E18" i="5"/>
  <c r="E17" i="5"/>
  <c r="E14" i="5"/>
  <c r="E13" i="5"/>
  <c r="E12" i="5"/>
  <c r="E9" i="5"/>
  <c r="E8" i="5"/>
  <c r="E7" i="5"/>
  <c r="M6" i="5"/>
  <c r="M5" i="5"/>
  <c r="M4" i="5"/>
  <c r="E4" i="5"/>
  <c r="M3" i="5"/>
  <c r="E3" i="5"/>
  <c r="M2" i="5"/>
  <c r="E2" i="5"/>
  <c r="E24" i="4"/>
  <c r="E23" i="4"/>
  <c r="E19" i="4"/>
  <c r="E18" i="4"/>
  <c r="E14" i="4"/>
  <c r="E13" i="4"/>
  <c r="E9" i="4"/>
  <c r="E8" i="4"/>
  <c r="M6" i="4"/>
  <c r="M5" i="4"/>
  <c r="M4" i="4"/>
  <c r="E4" i="4"/>
  <c r="M3" i="4"/>
  <c r="E3" i="4"/>
  <c r="M2" i="4"/>
  <c r="N3" i="3"/>
  <c r="N4" i="3"/>
  <c r="N5" i="3"/>
  <c r="N6" i="3"/>
  <c r="O4" i="3"/>
  <c r="O5" i="3"/>
  <c r="O6" i="3"/>
  <c r="O3" i="3"/>
  <c r="N2" i="3"/>
  <c r="O2" i="3"/>
  <c r="F25" i="3"/>
  <c r="F20" i="3"/>
  <c r="F15" i="3"/>
  <c r="F10" i="3"/>
  <c r="F5" i="3"/>
  <c r="E22" i="3"/>
  <c r="E17" i="3"/>
  <c r="E18" i="3"/>
  <c r="E12" i="3"/>
  <c r="E7" i="3"/>
  <c r="E2" i="3"/>
  <c r="H3" i="4" l="1"/>
  <c r="I3" i="4" s="1"/>
  <c r="F25" i="5"/>
  <c r="O6" i="5" s="1"/>
  <c r="N6" i="5" s="1"/>
  <c r="H6" i="5" s="1"/>
  <c r="F20" i="5"/>
  <c r="O5" i="5" s="1"/>
  <c r="N5" i="5" s="1"/>
  <c r="H5" i="5" s="1"/>
  <c r="F15" i="5"/>
  <c r="O4" i="5" s="1"/>
  <c r="N4" i="5" s="1"/>
  <c r="H4" i="5" s="1"/>
  <c r="F10" i="5"/>
  <c r="O3" i="5" s="1"/>
  <c r="N3" i="5" s="1"/>
  <c r="H3" i="5" s="1"/>
  <c r="F5" i="5"/>
  <c r="O2" i="5" s="1"/>
  <c r="N2" i="5" s="1"/>
  <c r="H2" i="5" s="1"/>
  <c r="H5" i="4"/>
  <c r="I5" i="4" s="1"/>
  <c r="H4" i="4"/>
  <c r="I4" i="4" s="1"/>
  <c r="H6" i="4"/>
  <c r="I6" i="4" s="1"/>
  <c r="H2" i="4"/>
  <c r="I2" i="4" s="1"/>
  <c r="O3" i="2"/>
  <c r="O4" i="2"/>
  <c r="N4" i="2" s="1"/>
  <c r="H4" i="2" s="1"/>
  <c r="I4" i="2" s="1"/>
  <c r="O6" i="2"/>
  <c r="H6" i="2"/>
  <c r="I6" i="2" s="1"/>
  <c r="M6" i="2"/>
  <c r="M5" i="2"/>
  <c r="M4" i="2"/>
  <c r="H3" i="2"/>
  <c r="I3" i="2" s="1"/>
  <c r="M3" i="2"/>
  <c r="M2" i="2"/>
  <c r="H2" i="3"/>
  <c r="I2" i="3" s="1"/>
  <c r="M6" i="3"/>
  <c r="M5" i="3"/>
  <c r="M4" i="3"/>
  <c r="M3" i="3"/>
  <c r="M2" i="3"/>
  <c r="H6" i="3"/>
  <c r="I6" i="3" s="1"/>
  <c r="H3" i="3"/>
  <c r="I3" i="3" s="1"/>
  <c r="H5" i="3"/>
  <c r="I5" i="3" s="1"/>
  <c r="H4" i="3"/>
  <c r="I4" i="3" s="1"/>
  <c r="E4" i="3"/>
  <c r="E8" i="3"/>
  <c r="E9" i="3"/>
  <c r="E13" i="3"/>
  <c r="E14" i="3"/>
  <c r="E19" i="3"/>
  <c r="E23" i="3"/>
  <c r="E24" i="3"/>
  <c r="E3" i="3"/>
  <c r="E24" i="2"/>
  <c r="E23" i="2"/>
  <c r="E19" i="2"/>
  <c r="E18" i="2"/>
  <c r="E14" i="2"/>
  <c r="E13" i="2"/>
  <c r="E9" i="2"/>
  <c r="E8" i="2"/>
  <c r="E4" i="2"/>
  <c r="E3" i="2"/>
  <c r="B3" i="1"/>
  <c r="B2" i="1"/>
  <c r="B1" i="1"/>
  <c r="H5" i="2" l="1"/>
  <c r="I5" i="2" s="1"/>
  <c r="O5" i="2"/>
  <c r="H2" i="2"/>
  <c r="I2" i="2" s="1"/>
  <c r="O2" i="2"/>
</calcChain>
</file>

<file path=xl/sharedStrings.xml><?xml version="1.0" encoding="utf-8"?>
<sst xmlns="http://schemas.openxmlformats.org/spreadsheetml/2006/main" count="157" uniqueCount="26">
  <si>
    <r>
      <t>k</t>
    </r>
    <r>
      <rPr>
        <vertAlign val="subscript"/>
        <sz val="11"/>
        <color theme="1"/>
        <rFont val="標楷體"/>
        <family val="4"/>
        <charset val="136"/>
      </rPr>
      <t>B</t>
    </r>
    <r>
      <rPr>
        <sz val="11"/>
        <color theme="1"/>
        <rFont val="標楷體"/>
        <family val="2"/>
        <charset val="136"/>
      </rPr>
      <t>/h</t>
    </r>
    <phoneticPr fontId="1" type="noConversion"/>
  </si>
  <si>
    <r>
      <t>K</t>
    </r>
    <r>
      <rPr>
        <vertAlign val="superscript"/>
        <sz val="11"/>
        <color theme="1"/>
        <rFont val="標楷體"/>
        <family val="4"/>
        <charset val="136"/>
      </rPr>
      <t>o</t>
    </r>
    <phoneticPr fontId="1" type="noConversion"/>
  </si>
  <si>
    <t>273K</t>
    <phoneticPr fontId="1" type="noConversion"/>
  </si>
  <si>
    <t>298K</t>
    <phoneticPr fontId="1" type="noConversion"/>
  </si>
  <si>
    <t>400K</t>
    <phoneticPr fontId="1" type="noConversion"/>
  </si>
  <si>
    <t>600K</t>
    <phoneticPr fontId="1" type="noConversion"/>
  </si>
  <si>
    <t>800K</t>
    <phoneticPr fontId="1" type="noConversion"/>
  </si>
  <si>
    <t>TS</t>
    <phoneticPr fontId="1" type="noConversion"/>
  </si>
  <si>
    <t>OH</t>
    <phoneticPr fontId="1" type="noConversion"/>
  </si>
  <si>
    <t>CH4</t>
    <phoneticPr fontId="1" type="noConversion"/>
  </si>
  <si>
    <t>ZPE</t>
    <phoneticPr fontId="1" type="noConversion"/>
  </si>
  <si>
    <t>EE + Thermal Free Energy</t>
    <phoneticPr fontId="1" type="noConversion"/>
  </si>
  <si>
    <t>EE</t>
  </si>
  <si>
    <t>Thermal Free Energy</t>
  </si>
  <si>
    <t>NH3</t>
    <phoneticPr fontId="1" type="noConversion"/>
  </si>
  <si>
    <t>k</t>
    <phoneticPr fontId="1" type="noConversion"/>
  </si>
  <si>
    <r>
      <t>k</t>
    </r>
    <r>
      <rPr>
        <vertAlign val="subscript"/>
        <sz val="11"/>
        <color theme="1"/>
        <rFont val="標楷體"/>
        <family val="4"/>
        <charset val="136"/>
      </rPr>
      <t>B</t>
    </r>
    <r>
      <rPr>
        <sz val="11"/>
        <color theme="1"/>
        <rFont val="標楷體"/>
        <family val="4"/>
        <charset val="136"/>
      </rPr>
      <t>*K</t>
    </r>
    <r>
      <rPr>
        <vertAlign val="superscript"/>
        <sz val="11"/>
        <color theme="1"/>
        <rFont val="標楷體"/>
        <family val="4"/>
        <charset val="136"/>
      </rPr>
      <t>o</t>
    </r>
    <r>
      <rPr>
        <sz val="11"/>
        <color theme="1"/>
        <rFont val="標楷體"/>
        <family val="2"/>
        <charset val="136"/>
      </rPr>
      <t>/h</t>
    </r>
    <phoneticPr fontId="1" type="noConversion"/>
  </si>
  <si>
    <t>exp</t>
    <phoneticPr fontId="1" type="noConversion"/>
  </si>
  <si>
    <t>kcal/mol</t>
    <phoneticPr fontId="1" type="noConversion"/>
  </si>
  <si>
    <t>ln(k)</t>
    <phoneticPr fontId="1" type="noConversion"/>
  </si>
  <si>
    <r>
      <t>CCSD(T)_CH</t>
    </r>
    <r>
      <rPr>
        <vertAlign val="subscript"/>
        <sz val="11"/>
        <color theme="1"/>
        <rFont val="標楷體"/>
        <family val="4"/>
        <charset val="136"/>
      </rPr>
      <t>4</t>
    </r>
    <r>
      <rPr>
        <sz val="11"/>
        <color theme="1"/>
        <rFont val="標楷體"/>
        <family val="2"/>
        <charset val="136"/>
      </rPr>
      <t>+OH</t>
    </r>
    <phoneticPr fontId="1" type="noConversion"/>
  </si>
  <si>
    <r>
      <t>CCSD(T)_NH</t>
    </r>
    <r>
      <rPr>
        <vertAlign val="subscript"/>
        <sz val="11"/>
        <color theme="1"/>
        <rFont val="標楷體"/>
        <family val="4"/>
        <charset val="136"/>
      </rPr>
      <t>3</t>
    </r>
    <r>
      <rPr>
        <sz val="11"/>
        <color theme="1"/>
        <rFont val="標楷體"/>
        <family val="2"/>
        <charset val="136"/>
      </rPr>
      <t>+OH</t>
    </r>
    <phoneticPr fontId="1" type="noConversion"/>
  </si>
  <si>
    <r>
      <t>MP2_NH</t>
    </r>
    <r>
      <rPr>
        <vertAlign val="subscript"/>
        <sz val="11"/>
        <color theme="1"/>
        <rFont val="標楷體"/>
        <family val="4"/>
        <charset val="136"/>
      </rPr>
      <t>3</t>
    </r>
    <r>
      <rPr>
        <sz val="11"/>
        <color theme="1"/>
        <rFont val="標楷體"/>
        <family val="2"/>
        <charset val="136"/>
      </rPr>
      <t>+OH</t>
    </r>
    <phoneticPr fontId="1" type="noConversion"/>
  </si>
  <si>
    <r>
      <t>MP2_CH</t>
    </r>
    <r>
      <rPr>
        <vertAlign val="subscript"/>
        <sz val="11"/>
        <color theme="1"/>
        <rFont val="標楷體"/>
        <family val="4"/>
        <charset val="136"/>
      </rPr>
      <t>4</t>
    </r>
    <r>
      <rPr>
        <sz val="11"/>
        <color theme="1"/>
        <rFont val="標楷體"/>
        <family val="2"/>
        <charset val="136"/>
      </rPr>
      <t>+OH</t>
    </r>
    <phoneticPr fontId="1" type="noConversion"/>
  </si>
  <si>
    <t>exp</t>
    <phoneticPr fontId="1" type="noConversion"/>
  </si>
  <si>
    <t>value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</si>
</sst>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標楷體"/>
      <family val="2"/>
      <charset val="136"/>
    </font>
    <font>
      <sz val="9"/>
      <name val="標楷體"/>
      <family val="2"/>
      <charset val="136"/>
    </font>
    <font>
      <vertAlign val="subscript"/>
      <sz val="11"/>
      <color theme="1"/>
      <name val="標楷體"/>
      <family val="4"/>
      <charset val="136"/>
    </font>
    <font>
      <vertAlign val="superscript"/>
      <sz val="11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>
                <a:latin typeface="標楷體" panose="03000509000000000000" pitchFamily="65" charset="-120"/>
                <a:ea typeface="標楷體" panose="03000509000000000000" pitchFamily="65" charset="-120"/>
              </a:rPr>
              <a:t>反應速率常數</a:t>
            </a:r>
            <a:endParaRPr lang="en-US" altLang="zh-TW">
              <a:latin typeface="標楷體" panose="03000509000000000000" pitchFamily="65" charset="-120"/>
              <a:ea typeface="標楷體" panose="03000509000000000000" pitchFamily="65" charset="-12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'CH4'!$H$1</c:f>
              <c:strCache>
                <c:ptCount val="1"/>
                <c:pt idx="0">
                  <c:v>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'NH3'!$J$2:$J$6</c:f>
              <c:strCache>
                <c:ptCount val="5"/>
                <c:pt idx="0">
                  <c:v>273K</c:v>
                </c:pt>
                <c:pt idx="1">
                  <c:v>298K</c:v>
                </c:pt>
                <c:pt idx="2">
                  <c:v>400K</c:v>
                </c:pt>
                <c:pt idx="3">
                  <c:v>600K</c:v>
                </c:pt>
                <c:pt idx="4">
                  <c:v>800K</c:v>
                </c:pt>
              </c:strCache>
            </c:strRef>
          </c:cat>
          <c:val>
            <c:numRef>
              <c:f>'CH4'!$I$2:$I$6</c:f>
              <c:numCache>
                <c:formatCode>General</c:formatCode>
                <c:ptCount val="5"/>
                <c:pt idx="0">
                  <c:v>-32.428436552725827</c:v>
                </c:pt>
                <c:pt idx="1">
                  <c:v>-31.728109824028476</c:v>
                </c:pt>
                <c:pt idx="2">
                  <c:v>-29.692587379629906</c:v>
                </c:pt>
                <c:pt idx="3">
                  <c:v>-27.549264254258667</c:v>
                </c:pt>
                <c:pt idx="4">
                  <c:v>-26.32002532835293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C-422A-9360-9AECA3CD4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67936"/>
        <c:axId val="266572288"/>
      </c:lineChart>
      <c:catAx>
        <c:axId val="266567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 ( K 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66572288"/>
        <c:crosses val="autoZero"/>
        <c:auto val="1"/>
        <c:lblAlgn val="ctr"/>
        <c:lblOffset val="100"/>
        <c:tickMarkSkip val="1"/>
        <c:noMultiLvlLbl val="0"/>
      </c:catAx>
      <c:valAx>
        <c:axId val="266572288"/>
        <c:scaling>
          <c:orientation val="minMax"/>
          <c:max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ln( k 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665679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>
                <a:latin typeface="標楷體" panose="03000509000000000000" pitchFamily="65" charset="-120"/>
                <a:ea typeface="標楷體" panose="03000509000000000000" pitchFamily="65" charset="-120"/>
              </a:rPr>
              <a:t>反應速率常數</a:t>
            </a:r>
            <a:endParaRPr lang="en-US" altLang="zh-TW">
              <a:latin typeface="標楷體" panose="03000509000000000000" pitchFamily="65" charset="-120"/>
              <a:ea typeface="標楷體" panose="03000509000000000000" pitchFamily="65" charset="-12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MP2_CH4!$H$1</c:f>
              <c:strCache>
                <c:ptCount val="1"/>
                <c:pt idx="0">
                  <c:v>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'NH3'!$J$2:$J$6</c:f>
              <c:strCache>
                <c:ptCount val="5"/>
                <c:pt idx="0">
                  <c:v>273K</c:v>
                </c:pt>
                <c:pt idx="1">
                  <c:v>298K</c:v>
                </c:pt>
                <c:pt idx="2">
                  <c:v>400K</c:v>
                </c:pt>
                <c:pt idx="3">
                  <c:v>600K</c:v>
                </c:pt>
                <c:pt idx="4">
                  <c:v>800K</c:v>
                </c:pt>
              </c:strCache>
            </c:strRef>
          </c:cat>
          <c:val>
            <c:numRef>
              <c:f>MP2_CH4!$I$2:$I$6</c:f>
              <c:numCache>
                <c:formatCode>General</c:formatCode>
                <c:ptCount val="5"/>
                <c:pt idx="0">
                  <c:v>-35.693508703715374</c:v>
                </c:pt>
                <c:pt idx="1">
                  <c:v>-34.718842669408772</c:v>
                </c:pt>
                <c:pt idx="2">
                  <c:v>-31.920999122680268</c:v>
                </c:pt>
                <c:pt idx="3">
                  <c:v>-29.034872082958913</c:v>
                </c:pt>
                <c:pt idx="4">
                  <c:v>-27.434231199878109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83-4A4F-9E79-48C7DCCF5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74464"/>
        <c:axId val="266579360"/>
      </c:lineChart>
      <c:catAx>
        <c:axId val="26657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 ( K 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66579360"/>
        <c:crosses val="autoZero"/>
        <c:auto val="1"/>
        <c:lblAlgn val="ctr"/>
        <c:lblOffset val="100"/>
        <c:tickMarkSkip val="1"/>
        <c:noMultiLvlLbl val="0"/>
      </c:catAx>
      <c:valAx>
        <c:axId val="266579360"/>
        <c:scaling>
          <c:orientation val="minMax"/>
          <c:max val="-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ln( k 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66574464"/>
        <c:crosses val="autoZero"/>
        <c:crossBetween val="between"/>
        <c:majorUnit val="2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>
                <a:latin typeface="標楷體" panose="03000509000000000000" pitchFamily="65" charset="-120"/>
                <a:ea typeface="標楷體" panose="03000509000000000000" pitchFamily="65" charset="-120"/>
              </a:rPr>
              <a:t>反應速率常數</a:t>
            </a:r>
            <a:endParaRPr lang="en-US" altLang="zh-TW">
              <a:latin typeface="標楷體" panose="03000509000000000000" pitchFamily="65" charset="-120"/>
              <a:ea typeface="標楷體" panose="03000509000000000000" pitchFamily="65" charset="-12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'NH3'!$H$1</c:f>
              <c:strCache>
                <c:ptCount val="1"/>
                <c:pt idx="0">
                  <c:v>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'NH3'!$J$2:$J$6</c:f>
              <c:strCache>
                <c:ptCount val="5"/>
                <c:pt idx="0">
                  <c:v>273K</c:v>
                </c:pt>
                <c:pt idx="1">
                  <c:v>298K</c:v>
                </c:pt>
                <c:pt idx="2">
                  <c:v>400K</c:v>
                </c:pt>
                <c:pt idx="3">
                  <c:v>600K</c:v>
                </c:pt>
                <c:pt idx="4">
                  <c:v>800K</c:v>
                </c:pt>
              </c:strCache>
            </c:strRef>
          </c:cat>
          <c:val>
            <c:numRef>
              <c:f>'NH3'!$I$2:$I$6</c:f>
              <c:numCache>
                <c:formatCode>General</c:formatCode>
                <c:ptCount val="5"/>
                <c:pt idx="0">
                  <c:v>-31.136889307503402</c:v>
                </c:pt>
                <c:pt idx="1">
                  <c:v>-30.762140414352448</c:v>
                </c:pt>
                <c:pt idx="2">
                  <c:v>-29.673167325451928</c:v>
                </c:pt>
                <c:pt idx="3">
                  <c:v>-28.50468881574983</c:v>
                </c:pt>
                <c:pt idx="4">
                  <c:v>-27.795238954620455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CE9-4784-9D2E-978D5230A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67392"/>
        <c:axId val="265519616"/>
      </c:lineChart>
      <c:catAx>
        <c:axId val="266567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 ( K 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65519616"/>
        <c:crosses val="autoZero"/>
        <c:auto val="1"/>
        <c:lblAlgn val="ctr"/>
        <c:lblOffset val="100"/>
        <c:tickMarkSkip val="1"/>
        <c:noMultiLvlLbl val="0"/>
      </c:catAx>
      <c:valAx>
        <c:axId val="2655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ln( k 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66567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>
                <a:latin typeface="標楷體" panose="03000509000000000000" pitchFamily="65" charset="-120"/>
                <a:ea typeface="標楷體" panose="03000509000000000000" pitchFamily="65" charset="-120"/>
              </a:rPr>
              <a:t>反應速率常數</a:t>
            </a:r>
            <a:endParaRPr lang="en-US" altLang="zh-TW">
              <a:latin typeface="標楷體" panose="03000509000000000000" pitchFamily="65" charset="-120"/>
              <a:ea typeface="標楷體" panose="03000509000000000000" pitchFamily="65" charset="-12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'MP2-NH3'!$H$1</c:f>
              <c:strCache>
                <c:ptCount val="1"/>
                <c:pt idx="0">
                  <c:v>k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'MP2-NH3'!$J$2:$J$6</c:f>
              <c:strCache>
                <c:ptCount val="5"/>
                <c:pt idx="0">
                  <c:v>273K</c:v>
                </c:pt>
                <c:pt idx="1">
                  <c:v>298K</c:v>
                </c:pt>
                <c:pt idx="2">
                  <c:v>400K</c:v>
                </c:pt>
                <c:pt idx="3">
                  <c:v>600K</c:v>
                </c:pt>
                <c:pt idx="4">
                  <c:v>800K</c:v>
                </c:pt>
              </c:strCache>
            </c:strRef>
          </c:cat>
          <c:val>
            <c:numRef>
              <c:f>'MP2-NH3'!$I$2:$I$6</c:f>
              <c:numCache>
                <c:formatCode>General</c:formatCode>
                <c:ptCount val="5"/>
                <c:pt idx="0">
                  <c:v>-38.021902582093659</c:v>
                </c:pt>
                <c:pt idx="1">
                  <c:v>-37.069128047460914</c:v>
                </c:pt>
                <c:pt idx="2">
                  <c:v>-34.372188885359776</c:v>
                </c:pt>
                <c:pt idx="3">
                  <c:v>-31.637369855688394</c:v>
                </c:pt>
                <c:pt idx="4">
                  <c:v>-30.144749734574376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892-4305-87A5-63A056F9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518528"/>
        <c:axId val="265516352"/>
      </c:lineChart>
      <c:catAx>
        <c:axId val="26551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T ( K 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65516352"/>
        <c:crosses val="autoZero"/>
        <c:auto val="1"/>
        <c:lblAlgn val="ctr"/>
        <c:lblOffset val="100"/>
        <c:tickMarkSkip val="1"/>
        <c:noMultiLvlLbl val="0"/>
      </c:catAx>
      <c:valAx>
        <c:axId val="265516352"/>
        <c:scaling>
          <c:orientation val="minMax"/>
          <c:max val="-28"/>
          <c:min val="-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ln( k 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655185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Arrhenius plot of</a:t>
            </a:r>
            <a:r>
              <a:rPr lang="en-US" altLang="zh-TW" baseline="0"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 CH</a:t>
            </a:r>
            <a:r>
              <a:rPr lang="en-US" altLang="zh-TW" baseline="-25000"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4</a:t>
            </a:r>
            <a:r>
              <a:rPr lang="en-US" altLang="zh-TW" baseline="0">
                <a:latin typeface="Times New Roman" panose="02020603050405020304" pitchFamily="18" charset="0"/>
                <a:ea typeface="標楷體" panose="03000509000000000000" pitchFamily="65" charset="-120"/>
                <a:cs typeface="Times New Roman" panose="02020603050405020304" pitchFamily="18" charset="0"/>
              </a:rPr>
              <a:t>+OH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1650287135160736"/>
          <c:y val="0.19942184310294547"/>
          <c:w val="0.85294160598346258"/>
          <c:h val="0.59500729075532222"/>
        </c:manualLayout>
      </c:layout>
      <c:lineChart>
        <c:grouping val="standard"/>
        <c:varyColors val="0"/>
        <c:ser>
          <c:idx val="0"/>
          <c:order val="0"/>
          <c:tx>
            <c:strRef>
              <c:f>mix!$B$1</c:f>
              <c:strCache>
                <c:ptCount val="1"/>
                <c:pt idx="0">
                  <c:v>CCSD(T)_CH4+OH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mix!$A$2:$A$6</c:f>
              <c:numCache>
                <c:formatCode>0.0_ </c:formatCode>
                <c:ptCount val="5"/>
                <c:pt idx="0">
                  <c:v>3.6630036630036629</c:v>
                </c:pt>
                <c:pt idx="1">
                  <c:v>3.3557046979865772</c:v>
                </c:pt>
                <c:pt idx="2">
                  <c:v>2.5</c:v>
                </c:pt>
                <c:pt idx="3">
                  <c:v>1.6666666666666667</c:v>
                </c:pt>
                <c:pt idx="4">
                  <c:v>1.25</c:v>
                </c:pt>
              </c:numCache>
            </c:numRef>
          </c:cat>
          <c:val>
            <c:numRef>
              <c:f>mix!$B$2:$B$6</c:f>
              <c:numCache>
                <c:formatCode>0.0_ </c:formatCode>
                <c:ptCount val="5"/>
                <c:pt idx="0">
                  <c:v>-32.428436552725799</c:v>
                </c:pt>
                <c:pt idx="1">
                  <c:v>-31.728109824028476</c:v>
                </c:pt>
                <c:pt idx="2">
                  <c:v>-29.692587379629906</c:v>
                </c:pt>
                <c:pt idx="3">
                  <c:v>-27.549264254258667</c:v>
                </c:pt>
                <c:pt idx="4">
                  <c:v>-26.32002532835293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41-4B68-A747-BE06C570A100}"/>
            </c:ext>
          </c:extLst>
        </c:ser>
        <c:ser>
          <c:idx val="1"/>
          <c:order val="1"/>
          <c:tx>
            <c:strRef>
              <c:f>mix!$C$1</c:f>
              <c:strCache>
                <c:ptCount val="1"/>
                <c:pt idx="0">
                  <c:v>MP2_CH4+OH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mix!$A$2:$A$6</c:f>
              <c:numCache>
                <c:formatCode>0.0_ </c:formatCode>
                <c:ptCount val="5"/>
                <c:pt idx="0">
                  <c:v>3.6630036630036629</c:v>
                </c:pt>
                <c:pt idx="1">
                  <c:v>3.3557046979865772</c:v>
                </c:pt>
                <c:pt idx="2">
                  <c:v>2.5</c:v>
                </c:pt>
                <c:pt idx="3">
                  <c:v>1.6666666666666667</c:v>
                </c:pt>
                <c:pt idx="4">
                  <c:v>1.25</c:v>
                </c:pt>
              </c:numCache>
            </c:numRef>
          </c:cat>
          <c:val>
            <c:numRef>
              <c:f>mix!$C$2:$C$6</c:f>
              <c:numCache>
                <c:formatCode>0.0_ </c:formatCode>
                <c:ptCount val="5"/>
                <c:pt idx="0">
                  <c:v>-35.693508703715374</c:v>
                </c:pt>
                <c:pt idx="1">
                  <c:v>-34.718842669408772</c:v>
                </c:pt>
                <c:pt idx="2">
                  <c:v>-31.920999122680268</c:v>
                </c:pt>
                <c:pt idx="3">
                  <c:v>-29.034872082958913</c:v>
                </c:pt>
                <c:pt idx="4">
                  <c:v>-27.434231199878109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741-4B68-A747-BE06C570A100}"/>
            </c:ext>
          </c:extLst>
        </c:ser>
        <c:ser>
          <c:idx val="2"/>
          <c:order val="2"/>
          <c:tx>
            <c:strRef>
              <c:f>mix!$D$1</c:f>
              <c:strCache>
                <c:ptCount val="1"/>
                <c:pt idx="0">
                  <c:v>value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mix!$D$2:$D$6</c:f>
              <c:numCache>
                <c:formatCode>0.0_ </c:formatCode>
                <c:ptCount val="5"/>
                <c:pt idx="0">
                  <c:v>-33.233190373753708</c:v>
                </c:pt>
                <c:pt idx="1">
                  <c:v>-32.682793125758195</c:v>
                </c:pt>
                <c:pt idx="2">
                  <c:v>-31.008086197946174</c:v>
                </c:pt>
                <c:pt idx="3">
                  <c:v>-29.042174593081146</c:v>
                </c:pt>
                <c:pt idx="4">
                  <c:v>-27.819661148767125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519072"/>
        <c:axId val="265521248"/>
      </c:lineChart>
      <c:catAx>
        <c:axId val="26551907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1000/T ( K</a:t>
                </a:r>
                <a:r>
                  <a:rPr lang="en-US" altLang="zh-TW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altLang="zh-TW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)</a:t>
                </a:r>
                <a:endParaRPr lang="zh-TW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_ 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65521248"/>
        <c:crosses val="autoZero"/>
        <c:auto val="1"/>
        <c:lblAlgn val="ctr"/>
        <c:lblOffset val="100"/>
        <c:noMultiLvlLbl val="0"/>
      </c:catAx>
      <c:valAx>
        <c:axId val="265521248"/>
        <c:scaling>
          <c:orientation val="minMax"/>
          <c:max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ln( k 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TW"/>
            </a:p>
          </c:txPr>
        </c:title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65519072"/>
        <c:crosses val="max"/>
        <c:crossBetween val="between"/>
        <c:majorUnit val="2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60277734033245844"/>
          <c:y val="1.9444444444444438E-2"/>
          <c:w val="0.39722260494974476"/>
          <c:h val="0.13844447282479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TW" sz="14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Arrhenius plot of NH</a:t>
            </a:r>
            <a:r>
              <a:rPr lang="en-US" altLang="zh-TW" sz="1400" b="0" i="0" baseline="-2500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3</a:t>
            </a:r>
            <a:r>
              <a:rPr lang="en-US" altLang="zh-TW" sz="14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+OH</a:t>
            </a:r>
            <a:endParaRPr lang="zh-TW" altLang="zh-TW" sz="14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1650287135160736"/>
          <c:y val="0.19942184310294547"/>
          <c:w val="0.85294160598346258"/>
          <c:h val="0.59500729075532222"/>
        </c:manualLayout>
      </c:layout>
      <c:scatterChart>
        <c:scatterStyle val="lineMarker"/>
        <c:varyColors val="0"/>
        <c:ser>
          <c:idx val="0"/>
          <c:order val="0"/>
          <c:tx>
            <c:strRef>
              <c:f>mix!$B$17</c:f>
              <c:strCache>
                <c:ptCount val="1"/>
                <c:pt idx="0">
                  <c:v>CCSD(T)_NH3+OH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mix!$A$18:$A$22</c:f>
              <c:numCache>
                <c:formatCode>0.0_ </c:formatCode>
                <c:ptCount val="5"/>
                <c:pt idx="0">
                  <c:v>3.6630036630036629</c:v>
                </c:pt>
                <c:pt idx="1">
                  <c:v>3.3557046979865772</c:v>
                </c:pt>
                <c:pt idx="2">
                  <c:v>2.5</c:v>
                </c:pt>
                <c:pt idx="3">
                  <c:v>1.6666666666666667</c:v>
                </c:pt>
                <c:pt idx="4">
                  <c:v>1.25</c:v>
                </c:pt>
              </c:numCache>
            </c:numRef>
          </c:xVal>
          <c:yVal>
            <c:numRef>
              <c:f>mix!$B$18:$B$22</c:f>
              <c:numCache>
                <c:formatCode>0.0_ </c:formatCode>
                <c:ptCount val="5"/>
                <c:pt idx="0">
                  <c:v>-31.136889307503402</c:v>
                </c:pt>
                <c:pt idx="1">
                  <c:v>-30.762140414352448</c:v>
                </c:pt>
                <c:pt idx="2">
                  <c:v>-29.673167325451928</c:v>
                </c:pt>
                <c:pt idx="3">
                  <c:v>-28.50468881574983</c:v>
                </c:pt>
                <c:pt idx="4">
                  <c:v>-27.795238954620455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20D-4C78-BAE7-FE4CCF99054F}"/>
            </c:ext>
          </c:extLst>
        </c:ser>
        <c:ser>
          <c:idx val="1"/>
          <c:order val="1"/>
          <c:tx>
            <c:strRef>
              <c:f>mix!$C$17</c:f>
              <c:strCache>
                <c:ptCount val="1"/>
                <c:pt idx="0">
                  <c:v>MP2_NH3+OH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mix!$A$18:$A$22</c:f>
              <c:numCache>
                <c:formatCode>0.0_ </c:formatCode>
                <c:ptCount val="5"/>
                <c:pt idx="0">
                  <c:v>3.6630036630036629</c:v>
                </c:pt>
                <c:pt idx="1">
                  <c:v>3.3557046979865772</c:v>
                </c:pt>
                <c:pt idx="2">
                  <c:v>2.5</c:v>
                </c:pt>
                <c:pt idx="3">
                  <c:v>1.6666666666666667</c:v>
                </c:pt>
                <c:pt idx="4">
                  <c:v>1.25</c:v>
                </c:pt>
              </c:numCache>
            </c:numRef>
          </c:xVal>
          <c:yVal>
            <c:numRef>
              <c:f>mix!$C$18:$C$22</c:f>
              <c:numCache>
                <c:formatCode>0.0_ </c:formatCode>
                <c:ptCount val="5"/>
                <c:pt idx="0">
                  <c:v>-38.021902582093659</c:v>
                </c:pt>
                <c:pt idx="1">
                  <c:v>-37.069128047460914</c:v>
                </c:pt>
                <c:pt idx="2">
                  <c:v>-34.372188885359776</c:v>
                </c:pt>
                <c:pt idx="3">
                  <c:v>-31.637369855688394</c:v>
                </c:pt>
                <c:pt idx="4">
                  <c:v>-30.144749734574376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0D-4C78-BAE7-FE4CCF99054F}"/>
            </c:ext>
          </c:extLst>
        </c:ser>
        <c:ser>
          <c:idx val="2"/>
          <c:order val="2"/>
          <c:tx>
            <c:strRef>
              <c:f>mix!$D$17</c:f>
              <c:strCache>
                <c:ptCount val="1"/>
                <c:pt idx="0">
                  <c:v>value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mix!$E$18:$E$23</c:f>
              <c:numCache>
                <c:formatCode>0.0_ </c:formatCode>
                <c:ptCount val="6"/>
                <c:pt idx="0">
                  <c:v>4</c:v>
                </c:pt>
                <c:pt idx="1">
                  <c:v>3.3333333333333335</c:v>
                </c:pt>
                <c:pt idx="2">
                  <c:v>2.5</c:v>
                </c:pt>
                <c:pt idx="3">
                  <c:v>2</c:v>
                </c:pt>
                <c:pt idx="4">
                  <c:v>1.4285714285714286</c:v>
                </c:pt>
                <c:pt idx="5">
                  <c:v>1.1111111111111112</c:v>
                </c:pt>
              </c:numCache>
            </c:numRef>
          </c:xVal>
          <c:yVal>
            <c:numRef>
              <c:f>mix!$D$18:$D$23</c:f>
              <c:numCache>
                <c:formatCode>0.0_ </c:formatCode>
                <c:ptCount val="6"/>
                <c:pt idx="0">
                  <c:v>-30.072868276256102</c:v>
                </c:pt>
                <c:pt idx="1">
                  <c:v>-29.463602579676859</c:v>
                </c:pt>
                <c:pt idx="2">
                  <c:v>-28.680843240427226</c:v>
                </c:pt>
                <c:pt idx="3">
                  <c:v>-28.00208479731938</c:v>
                </c:pt>
                <c:pt idx="4">
                  <c:v>-27.294548879307335</c:v>
                </c:pt>
                <c:pt idx="5">
                  <c:v>-26.755552378574649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63056"/>
        <c:axId val="145560336"/>
      </c:scatterChart>
      <c:valAx>
        <c:axId val="145563056"/>
        <c:scaling>
          <c:orientation val="minMax"/>
          <c:max val="4.3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 sz="10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1000/T ( K</a:t>
                </a:r>
                <a:r>
                  <a:rPr lang="en-US" altLang="zh-TW" sz="1000" b="0" i="0" baseline="3000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altLang="zh-TW" sz="1000" b="0" i="0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)</a:t>
                </a:r>
                <a:endParaRPr lang="zh-TW" altLang="zh-TW" sz="1000"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_ 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5560336"/>
        <c:crosses val="autoZero"/>
        <c:crossBetween val="midCat"/>
        <c:majorUnit val="0.30000000000000004"/>
      </c:valAx>
      <c:valAx>
        <c:axId val="145560336"/>
        <c:scaling>
          <c:orientation val="minMax"/>
          <c:max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TW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ln( k 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TW"/>
            </a:p>
          </c:txPr>
        </c:title>
        <c:numFmt formatCode="0.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45563056"/>
        <c:crosses val="autoZero"/>
        <c:crossBetween val="midCat"/>
        <c:majorUnit val="2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60277734033245844"/>
          <c:y val="1.9444444444444438E-2"/>
          <c:w val="0.39722260494974476"/>
          <c:h val="0.17454668171377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15</xdr:col>
      <xdr:colOff>38100</xdr:colOff>
      <xdr:row>22</xdr:row>
      <xdr:rowOff>76200</xdr:rowOff>
    </xdr:to>
    <xdr:graphicFrame macro="">
      <xdr:nvGraphicFramePr>
        <xdr:cNvPr id="2" name="圖表 1">
          <a:extLst>
            <a:ext uri="{FF2B5EF4-FFF2-40B4-BE49-F238E27FC236}">
              <a16:creationId xmlns="" xmlns:a16="http://schemas.microsoft.com/office/drawing/2014/main" id="{A9F2FE41-6E52-41A5-B6DA-CE42EE4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129540</xdr:colOff>
      <xdr:row>8</xdr:row>
      <xdr:rowOff>0</xdr:rowOff>
    </xdr:from>
    <xdr:to>
      <xdr:col>16</xdr:col>
      <xdr:colOff>167640</xdr:colOff>
      <xdr:row>22</xdr:row>
      <xdr:rowOff>76200</xdr:rowOff>
    </xdr:to>
    <xdr:graphicFrame macro="">
      <xdr:nvGraphicFramePr>
        <xdr:cNvPr id="2" name="圖表 1">
          <a:extLst>
            <a:ext uri="{FF2B5EF4-FFF2-40B4-BE49-F238E27FC236}">
              <a16:creationId xmlns="" xmlns:a16="http://schemas.microsoft.com/office/drawing/2014/main" id="{1D05A65C-024D-4B3E-8E4D-89510E709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483870</xdr:colOff>
      <xdr:row>8</xdr:row>
      <xdr:rowOff>34290</xdr:rowOff>
    </xdr:from>
    <xdr:to>
      <xdr:col>16</xdr:col>
      <xdr:colOff>255270</xdr:colOff>
      <xdr:row>22</xdr:row>
      <xdr:rowOff>110490</xdr:rowOff>
    </xdr:to>
    <xdr:graphicFrame macro="">
      <xdr:nvGraphicFramePr>
        <xdr:cNvPr id="2" name="圖表 1">
          <a:extLst>
            <a:ext uri="{FF2B5EF4-FFF2-40B4-BE49-F238E27FC236}">
              <a16:creationId xmlns="" xmlns:a16="http://schemas.microsoft.com/office/drawing/2014/main" id="{88E3AA55-EF83-45A6-85ED-F3AAB7333D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320040</xdr:colOff>
      <xdr:row>9</xdr:row>
      <xdr:rowOff>22860</xdr:rowOff>
    </xdr:from>
    <xdr:to>
      <xdr:col>17</xdr:col>
      <xdr:colOff>15240</xdr:colOff>
      <xdr:row>23</xdr:row>
      <xdr:rowOff>99060</xdr:rowOff>
    </xdr:to>
    <xdr:graphicFrame macro="">
      <xdr:nvGraphicFramePr>
        <xdr:cNvPr id="2" name="圖表 1">
          <a:extLst>
            <a:ext uri="{FF2B5EF4-FFF2-40B4-BE49-F238E27FC236}">
              <a16:creationId xmlns="" xmlns:a16="http://schemas.microsoft.com/office/drawing/2014/main" id="{B130EBD9-AD2A-478C-A18C-D61A451AE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0</xdr:row>
      <xdr:rowOff>175260</xdr:rowOff>
    </xdr:from>
    <xdr:to>
      <xdr:col>12</xdr:col>
      <xdr:colOff>533400</xdr:colOff>
      <xdr:row>14</xdr:row>
      <xdr:rowOff>91440</xdr:rowOff>
    </xdr:to>
    <xdr:graphicFrame macro="">
      <xdr:nvGraphicFramePr>
        <xdr:cNvPr id="2" name="圖表 1">
          <a:extLst>
            <a:ext uri="{FF2B5EF4-FFF2-40B4-BE49-F238E27FC236}">
              <a16:creationId xmlns="" xmlns:a16="http://schemas.microsoft.com/office/drawing/2014/main" id="{A55DE459-D05B-43C0-8177-87567C53B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458856</xdr:colOff>
      <xdr:row>15</xdr:row>
      <xdr:rowOff>174597</xdr:rowOff>
    </xdr:from>
    <xdr:to>
      <xdr:col>13</xdr:col>
      <xdr:colOff>649356</xdr:colOff>
      <xdr:row>29</xdr:row>
      <xdr:rowOff>106017</xdr:rowOff>
    </xdr:to>
    <xdr:graphicFrame macro="">
      <xdr:nvGraphicFramePr>
        <xdr:cNvPr id="3" name="圖表 2">
          <a:extLst>
            <a:ext uri="{FF2B5EF4-FFF2-40B4-BE49-F238E27FC236}">
              <a16:creationId xmlns="" xmlns:a16="http://schemas.microsoft.com/office/drawing/2014/main" id="{C84F0B0C-8CD9-4FAB-96B2-799E5838A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5.75" x14ac:dyDescent="0.25"/>
  <cols>
    <col min="2" max="2" width="15" bestFit="1" customWidth="1"/>
  </cols>
  <sheetData>
    <row r="1" spans="1:2" ht="18.75" x14ac:dyDescent="0.25">
      <c r="A1" t="s">
        <v>0</v>
      </c>
      <c r="B1" s="1">
        <f>1.380658/6.6260755</f>
        <v>0.20836738126512444</v>
      </c>
    </row>
    <row r="2" spans="1:2" ht="18" x14ac:dyDescent="0.25">
      <c r="A2" t="s">
        <v>1</v>
      </c>
      <c r="B2" s="1">
        <f>24465/6.022142</f>
        <v>4062.5079913426157</v>
      </c>
    </row>
    <row r="3" spans="1:2" x14ac:dyDescent="0.25">
      <c r="B3" s="1">
        <f>B1*B2*0.000000000001</f>
        <v>8.4649415152470172E-10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Q2" sqref="Q2"/>
    </sheetView>
  </sheetViews>
  <sheetFormatPr defaultRowHeight="15.75" x14ac:dyDescent="0.25"/>
  <cols>
    <col min="3" max="3" width="12.75" bestFit="1" customWidth="1"/>
    <col min="4" max="4" width="21.5" bestFit="1" customWidth="1"/>
    <col min="5" max="5" width="27.125" bestFit="1" customWidth="1"/>
    <col min="14" max="14" width="12.75" bestFit="1" customWidth="1"/>
  </cols>
  <sheetData>
    <row r="1" spans="1:15" ht="18.75" x14ac:dyDescent="0.25">
      <c r="A1" t="s">
        <v>2</v>
      </c>
      <c r="B1" t="s">
        <v>10</v>
      </c>
      <c r="C1" t="s">
        <v>12</v>
      </c>
      <c r="D1" t="s">
        <v>13</v>
      </c>
      <c r="E1" t="s">
        <v>11</v>
      </c>
      <c r="H1" t="s">
        <v>15</v>
      </c>
      <c r="I1" t="s">
        <v>19</v>
      </c>
      <c r="M1" t="s">
        <v>16</v>
      </c>
      <c r="N1" t="s">
        <v>17</v>
      </c>
    </row>
    <row r="2" spans="1:15" x14ac:dyDescent="0.25">
      <c r="A2" t="s">
        <v>7</v>
      </c>
      <c r="C2">
        <v>-116.076217</v>
      </c>
      <c r="D2">
        <v>2.7851000000000001E-2</v>
      </c>
      <c r="E2">
        <f>D2+C2</f>
        <v>-116.048366</v>
      </c>
      <c r="H2">
        <f>M2*N2</f>
        <v>8.251044861325915E-15</v>
      </c>
      <c r="I2">
        <f>LN(H2)</f>
        <v>-32.428436552725827</v>
      </c>
      <c r="J2" t="s">
        <v>2</v>
      </c>
      <c r="M2">
        <f>8.46494151524702E-10*273</f>
        <v>2.3109290336624366E-7</v>
      </c>
      <c r="N2">
        <f>EXP(-O2)</f>
        <v>3.5704449341091996E-8</v>
      </c>
      <c r="O2">
        <f>F5*4184/8.31451/273</f>
        <v>17.147990524523529</v>
      </c>
    </row>
    <row r="3" spans="1:15" x14ac:dyDescent="0.25">
      <c r="A3" t="s">
        <v>8</v>
      </c>
      <c r="C3">
        <v>-75.645572599999994</v>
      </c>
      <c r="D3">
        <v>-6.5760000000000002E-3</v>
      </c>
      <c r="E3">
        <f>D3+C3</f>
        <v>-75.65214859999999</v>
      </c>
      <c r="H3">
        <f>M3*N3</f>
        <v>1.6620993597479625E-14</v>
      </c>
      <c r="I3">
        <f t="shared" ref="I3:I6" si="0">LN(H3)</f>
        <v>-31.728109824028476</v>
      </c>
      <c r="J3" t="s">
        <v>3</v>
      </c>
      <c r="M3">
        <f>8.46494151524702E-10*298</f>
        <v>2.5225525715436123E-7</v>
      </c>
      <c r="N3">
        <f t="shared" ref="N3:N6" si="1">EXP(-O3)</f>
        <v>6.588958257987396E-8</v>
      </c>
      <c r="O3">
        <f>F10*4184/8.31451/298</f>
        <v>16.535285487146623</v>
      </c>
    </row>
    <row r="4" spans="1:15" x14ac:dyDescent="0.25">
      <c r="A4" t="s">
        <v>9</v>
      </c>
      <c r="C4">
        <v>-40.440896600000002</v>
      </c>
      <c r="D4">
        <v>2.9853999999999999E-2</v>
      </c>
      <c r="E4">
        <f>D4+C4</f>
        <v>-40.411042600000002</v>
      </c>
      <c r="H4">
        <f>M4*N4</f>
        <v>1.2725449962048362E-13</v>
      </c>
      <c r="I4">
        <f t="shared" si="0"/>
        <v>-29.692587379629906</v>
      </c>
      <c r="J4" t="s">
        <v>4</v>
      </c>
      <c r="M4">
        <f>8.46494151524702E-10*400</f>
        <v>3.3859766060988083E-7</v>
      </c>
      <c r="N4">
        <f t="shared" si="1"/>
        <v>3.7582805324547515E-7</v>
      </c>
      <c r="O4">
        <f>F15*4184/8.31451/400</f>
        <v>14.794134103350633</v>
      </c>
    </row>
    <row r="5" spans="1:15" x14ac:dyDescent="0.25">
      <c r="F5">
        <f>(E2-E3-E4)*627.5095</f>
        <v>9.3029538393937194</v>
      </c>
      <c r="H5">
        <f>M5*N5</f>
        <v>1.0851919259979686E-12</v>
      </c>
      <c r="I5">
        <f t="shared" si="0"/>
        <v>-27.549264254258667</v>
      </c>
      <c r="J5" t="s">
        <v>5</v>
      </c>
      <c r="M5">
        <f>8.46494151524702E-10*600</f>
        <v>5.0789649091482122E-7</v>
      </c>
      <c r="N5">
        <f t="shared" si="1"/>
        <v>2.1366399363053779E-6</v>
      </c>
      <c r="O5">
        <f>F20*4184/8.31451/600</f>
        <v>13.056276086087555</v>
      </c>
    </row>
    <row r="6" spans="1:15" x14ac:dyDescent="0.25">
      <c r="A6" t="s">
        <v>3</v>
      </c>
      <c r="H6">
        <f>M6*N6</f>
        <v>3.7098661120637333E-12</v>
      </c>
      <c r="I6">
        <f t="shared" si="0"/>
        <v>-26.32002532835293</v>
      </c>
      <c r="J6" t="s">
        <v>6</v>
      </c>
      <c r="M6">
        <f>8.46494151524702E-10*800</f>
        <v>6.7719532121976166E-7</v>
      </c>
      <c r="N6">
        <f t="shared" si="1"/>
        <v>5.4782807792905835E-6</v>
      </c>
      <c r="O6">
        <f>F25*4184/8.31451/800</f>
        <v>12.114719232633602</v>
      </c>
    </row>
    <row r="7" spans="1:15" x14ac:dyDescent="0.25">
      <c r="A7" t="s">
        <v>7</v>
      </c>
      <c r="C7">
        <v>-116.076217</v>
      </c>
      <c r="D7">
        <v>2.5170000000000001E-2</v>
      </c>
      <c r="E7">
        <f>D7+C7</f>
        <v>-116.051047</v>
      </c>
    </row>
    <row r="8" spans="1:15" x14ac:dyDescent="0.25">
      <c r="A8" t="s">
        <v>8</v>
      </c>
      <c r="C8">
        <v>-75.645572999999999</v>
      </c>
      <c r="D8">
        <v>-8.2690000000000003E-3</v>
      </c>
      <c r="E8">
        <f>D8+C8</f>
        <v>-75.653841999999997</v>
      </c>
    </row>
    <row r="9" spans="1:15" x14ac:dyDescent="0.25">
      <c r="A9" t="s">
        <v>9</v>
      </c>
      <c r="C9">
        <v>-40.440896600000002</v>
      </c>
      <c r="D9">
        <v>2.8087000000000001E-2</v>
      </c>
      <c r="E9">
        <f>D9+C9</f>
        <v>-40.412809600000003</v>
      </c>
    </row>
    <row r="10" spans="1:15" x14ac:dyDescent="0.25">
      <c r="F10">
        <f>(E7-E8-E9)*627.5095</f>
        <v>9.7920347437020006</v>
      </c>
    </row>
    <row r="11" spans="1:15" x14ac:dyDescent="0.25">
      <c r="A11" t="s">
        <v>4</v>
      </c>
    </row>
    <row r="12" spans="1:15" x14ac:dyDescent="0.25">
      <c r="A12" t="s">
        <v>7</v>
      </c>
      <c r="C12">
        <v>-116.076217</v>
      </c>
      <c r="D12">
        <v>1.3793E-2</v>
      </c>
      <c r="E12">
        <f>D12+C12</f>
        <v>-116.06242399999999</v>
      </c>
    </row>
    <row r="13" spans="1:15" x14ac:dyDescent="0.25">
      <c r="A13" t="s">
        <v>8</v>
      </c>
      <c r="C13">
        <v>-75.645572599999994</v>
      </c>
      <c r="D13">
        <v>-1.5351E-2</v>
      </c>
      <c r="E13">
        <f>D13+C13</f>
        <v>-75.66092359999999</v>
      </c>
    </row>
    <row r="14" spans="1:15" x14ac:dyDescent="0.25">
      <c r="A14" t="s">
        <v>9</v>
      </c>
      <c r="C14">
        <v>-40.440896600000002</v>
      </c>
      <c r="D14">
        <v>2.0656000000000001E-2</v>
      </c>
      <c r="E14">
        <f>D14+C14</f>
        <v>-40.4202406</v>
      </c>
    </row>
    <row r="15" spans="1:15" x14ac:dyDescent="0.25">
      <c r="F15">
        <f>(E12-E13-E14)*627.5095</f>
        <v>11.759653531897692</v>
      </c>
    </row>
    <row r="16" spans="1:15" x14ac:dyDescent="0.25">
      <c r="A16" t="s">
        <v>5</v>
      </c>
    </row>
    <row r="17" spans="1:6" x14ac:dyDescent="0.25">
      <c r="A17" t="s">
        <v>7</v>
      </c>
      <c r="C17">
        <v>-116.076217</v>
      </c>
      <c r="D17">
        <v>-1.0541999999999999E-2</v>
      </c>
      <c r="E17">
        <f>D17+C17</f>
        <v>-116.086759</v>
      </c>
    </row>
    <row r="18" spans="1:6" x14ac:dyDescent="0.25">
      <c r="A18" t="s">
        <v>8</v>
      </c>
      <c r="C18">
        <v>-75.645572599999994</v>
      </c>
      <c r="D18">
        <v>-3.0046E-2</v>
      </c>
      <c r="E18">
        <f>D18+C18</f>
        <v>-75.675618599999993</v>
      </c>
    </row>
    <row r="19" spans="1:6" x14ac:dyDescent="0.25">
      <c r="A19" t="s">
        <v>9</v>
      </c>
      <c r="C19">
        <v>-40.440896600000002</v>
      </c>
      <c r="D19">
        <v>4.9480000000000001E-3</v>
      </c>
      <c r="E19">
        <f>D19+C19</f>
        <v>-40.435948600000003</v>
      </c>
    </row>
    <row r="20" spans="1:6" x14ac:dyDescent="0.25">
      <c r="F20">
        <f>(E17-E18-E19)*627.5095</f>
        <v>15.56738117789711</v>
      </c>
    </row>
    <row r="21" spans="1:6" x14ac:dyDescent="0.25">
      <c r="A21" t="s">
        <v>6</v>
      </c>
    </row>
    <row r="22" spans="1:6" x14ac:dyDescent="0.25">
      <c r="A22" t="s">
        <v>7</v>
      </c>
      <c r="C22">
        <v>-116.076217</v>
      </c>
      <c r="D22">
        <v>-3.7114000000000001E-2</v>
      </c>
      <c r="E22">
        <f>D22+C22</f>
        <v>-116.113331</v>
      </c>
    </row>
    <row r="23" spans="1:6" x14ac:dyDescent="0.25">
      <c r="A23" t="s">
        <v>8</v>
      </c>
      <c r="C23">
        <v>-75.645572599999994</v>
      </c>
      <c r="D23">
        <v>-4.5497000000000003E-2</v>
      </c>
      <c r="E23">
        <f>D23+C23</f>
        <v>-75.691069599999992</v>
      </c>
    </row>
    <row r="24" spans="1:6" x14ac:dyDescent="0.25">
      <c r="A24" t="s">
        <v>9</v>
      </c>
      <c r="C24">
        <v>-40.440896600000002</v>
      </c>
      <c r="D24">
        <v>-1.2057E-2</v>
      </c>
      <c r="E24">
        <f>D24+C24</f>
        <v>-40.452953600000001</v>
      </c>
    </row>
    <row r="25" spans="1:6" x14ac:dyDescent="0.25">
      <c r="F25">
        <f>(E22-E23-E24)*627.5095</f>
        <v>19.259647075893767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I2" sqref="I2:I6"/>
    </sheetView>
  </sheetViews>
  <sheetFormatPr defaultRowHeight="15.75" x14ac:dyDescent="0.25"/>
  <cols>
    <col min="3" max="3" width="12.75" bestFit="1" customWidth="1"/>
    <col min="4" max="4" width="21.5" bestFit="1" customWidth="1"/>
    <col min="5" max="5" width="27.125" bestFit="1" customWidth="1"/>
    <col min="11" max="11" width="12.75" bestFit="1" customWidth="1"/>
  </cols>
  <sheetData>
    <row r="1" spans="1:15" ht="18.75" x14ac:dyDescent="0.25">
      <c r="A1" t="s">
        <v>2</v>
      </c>
      <c r="B1" t="s">
        <v>10</v>
      </c>
      <c r="C1" t="s">
        <v>12</v>
      </c>
      <c r="D1" t="s">
        <v>13</v>
      </c>
      <c r="E1" t="s">
        <v>11</v>
      </c>
      <c r="H1" t="s">
        <v>15</v>
      </c>
      <c r="I1" t="s">
        <v>19</v>
      </c>
      <c r="M1" t="s">
        <v>16</v>
      </c>
      <c r="N1" t="s">
        <v>17</v>
      </c>
    </row>
    <row r="2" spans="1:15" x14ac:dyDescent="0.25">
      <c r="A2" t="s">
        <v>7</v>
      </c>
      <c r="C2">
        <v>-116.027721</v>
      </c>
      <c r="D2">
        <v>2.7851000000000001E-2</v>
      </c>
      <c r="E2">
        <f>D2+C2</f>
        <v>-115.99987</v>
      </c>
      <c r="H2">
        <f>M2*N2</f>
        <v>3.1514188632135423E-16</v>
      </c>
      <c r="I2">
        <f>LN(H2)</f>
        <v>-35.693508703715374</v>
      </c>
      <c r="J2" t="s">
        <v>2</v>
      </c>
      <c r="M2">
        <f>8.46494151524702E-10*273</f>
        <v>2.3109290336624366E-7</v>
      </c>
      <c r="N2">
        <f>EXP(-O2)</f>
        <v>1.3637021376719084E-9</v>
      </c>
      <c r="O2">
        <f>F5*4184/8.31451/273</f>
        <v>20.413062675513075</v>
      </c>
    </row>
    <row r="3" spans="1:15" x14ac:dyDescent="0.25">
      <c r="A3" t="s">
        <v>8</v>
      </c>
      <c r="C3">
        <v>-75.626337000000007</v>
      </c>
      <c r="D3">
        <v>-6.5760000000000002E-3</v>
      </c>
      <c r="E3">
        <f>D3+C3</f>
        <v>-75.632913000000002</v>
      </c>
      <c r="H3">
        <f>M3*N3</f>
        <v>8.3521485613158294E-16</v>
      </c>
      <c r="I3">
        <f t="shared" ref="I3:I6" si="0">LN(H3)</f>
        <v>-34.718842669408772</v>
      </c>
      <c r="J3" t="s">
        <v>3</v>
      </c>
      <c r="M3">
        <f>8.46494151524702E-10*298</f>
        <v>2.5225525715436123E-7</v>
      </c>
      <c r="N3">
        <f t="shared" ref="N3:N6" si="1">EXP(-O3)</f>
        <v>3.3109908810364033E-9</v>
      </c>
      <c r="O3">
        <f>F10*4184/8.31451/298</f>
        <v>19.526018332526924</v>
      </c>
    </row>
    <row r="4" spans="1:15" x14ac:dyDescent="0.25">
      <c r="A4" t="s">
        <v>9</v>
      </c>
      <c r="C4">
        <v>-40.414459000000001</v>
      </c>
      <c r="D4">
        <v>2.9853999999999999E-2</v>
      </c>
      <c r="E4">
        <f>D4+C4</f>
        <v>-40.384605000000001</v>
      </c>
      <c r="H4">
        <f>M4*N4</f>
        <v>1.370522671650424E-14</v>
      </c>
      <c r="I4">
        <f t="shared" si="0"/>
        <v>-31.920999122680268</v>
      </c>
      <c r="J4" t="s">
        <v>4</v>
      </c>
      <c r="M4">
        <f>8.46494151524702E-10*400</f>
        <v>3.3859766060988083E-7</v>
      </c>
      <c r="N4">
        <f t="shared" si="1"/>
        <v>4.0476436522976675E-8</v>
      </c>
      <c r="O4">
        <f>F15*4184/8.31451/400</f>
        <v>17.022545846400995</v>
      </c>
    </row>
    <row r="5" spans="1:15" x14ac:dyDescent="0.25">
      <c r="F5">
        <f>(E2-E3-E4)*627.5095</f>
        <v>11.074287656000765</v>
      </c>
      <c r="G5" t="s">
        <v>18</v>
      </c>
      <c r="H5">
        <f>M5*N5</f>
        <v>2.4564915332872184E-13</v>
      </c>
      <c r="I5">
        <f t="shared" si="0"/>
        <v>-29.034872082958913</v>
      </c>
      <c r="J5" t="s">
        <v>5</v>
      </c>
      <c r="M5">
        <f>8.46494151524702E-10*600</f>
        <v>5.0789649091482122E-7</v>
      </c>
      <c r="N5">
        <f t="shared" si="1"/>
        <v>4.8365987503922213E-7</v>
      </c>
      <c r="O5">
        <f>F20*4184/8.31451/600</f>
        <v>14.541883914787801</v>
      </c>
    </row>
    <row r="6" spans="1:15" x14ac:dyDescent="0.25">
      <c r="A6" t="s">
        <v>3</v>
      </c>
      <c r="H6">
        <f>M6*N6</f>
        <v>1.217488239099128E-12</v>
      </c>
      <c r="I6">
        <f t="shared" si="0"/>
        <v>-27.434231199878109</v>
      </c>
      <c r="J6" t="s">
        <v>6</v>
      </c>
      <c r="M6">
        <f>8.46494151524702E-10*800</f>
        <v>6.7719532121976166E-7</v>
      </c>
      <c r="N6">
        <f t="shared" si="1"/>
        <v>1.7978391181235463E-6</v>
      </c>
      <c r="O6">
        <f>F25*4184/8.31451/800</f>
        <v>13.228925104158781</v>
      </c>
    </row>
    <row r="7" spans="1:15" x14ac:dyDescent="0.25">
      <c r="A7" t="s">
        <v>7</v>
      </c>
      <c r="C7">
        <v>-116.027721</v>
      </c>
      <c r="D7">
        <v>2.5170000000000001E-2</v>
      </c>
      <c r="E7">
        <f>D7+C7</f>
        <v>-116.002551</v>
      </c>
    </row>
    <row r="8" spans="1:15" x14ac:dyDescent="0.25">
      <c r="A8" t="s">
        <v>8</v>
      </c>
      <c r="C8">
        <v>-75.626337000000007</v>
      </c>
      <c r="D8">
        <v>-8.2690000000000003E-3</v>
      </c>
      <c r="E8">
        <f>D8+C8</f>
        <v>-75.634606000000005</v>
      </c>
    </row>
    <row r="9" spans="1:15" x14ac:dyDescent="0.25">
      <c r="A9" t="s">
        <v>9</v>
      </c>
      <c r="C9">
        <v>-40.414459000000001</v>
      </c>
      <c r="D9">
        <v>2.8087000000000001E-2</v>
      </c>
      <c r="E9">
        <f>D9+C9</f>
        <v>-40.386372000000001</v>
      </c>
    </row>
    <row r="10" spans="1:15" x14ac:dyDescent="0.25">
      <c r="F10">
        <f>(E7-E8-E9)*627.5095</f>
        <v>11.563117556506112</v>
      </c>
      <c r="G10" t="s">
        <v>18</v>
      </c>
    </row>
    <row r="11" spans="1:15" x14ac:dyDescent="0.25">
      <c r="A11" t="s">
        <v>4</v>
      </c>
    </row>
    <row r="12" spans="1:15" x14ac:dyDescent="0.25">
      <c r="A12" t="s">
        <v>7</v>
      </c>
      <c r="C12">
        <v>-116.027721</v>
      </c>
      <c r="D12">
        <v>1.3793E-2</v>
      </c>
      <c r="E12">
        <f>D12+C12</f>
        <v>-116.01392799999999</v>
      </c>
    </row>
    <row r="13" spans="1:15" x14ac:dyDescent="0.25">
      <c r="A13" t="s">
        <v>8</v>
      </c>
      <c r="C13">
        <v>-75.626337000000007</v>
      </c>
      <c r="D13">
        <v>-1.5351E-2</v>
      </c>
      <c r="E13">
        <f>D13+C13</f>
        <v>-75.641688000000002</v>
      </c>
    </row>
    <row r="14" spans="1:15" x14ac:dyDescent="0.25">
      <c r="A14" t="s">
        <v>9</v>
      </c>
      <c r="C14">
        <v>-40.414459000000001</v>
      </c>
      <c r="D14">
        <v>2.0656000000000001E-2</v>
      </c>
      <c r="E14">
        <f>D14+C14</f>
        <v>-40.393802999999998</v>
      </c>
    </row>
    <row r="15" spans="1:15" x14ac:dyDescent="0.25">
      <c r="F15">
        <f>(E12-E13-E14)*627.5095</f>
        <v>13.530987348504736</v>
      </c>
      <c r="G15" t="s">
        <v>18</v>
      </c>
    </row>
    <row r="16" spans="1:15" x14ac:dyDescent="0.25">
      <c r="A16" t="s">
        <v>5</v>
      </c>
    </row>
    <row r="17" spans="1:7" x14ac:dyDescent="0.25">
      <c r="A17" t="s">
        <v>7</v>
      </c>
      <c r="C17">
        <v>-116.027721</v>
      </c>
      <c r="D17">
        <v>-1.0541999999999999E-2</v>
      </c>
      <c r="E17">
        <f>D17+C17</f>
        <v>-116.038263</v>
      </c>
    </row>
    <row r="18" spans="1:7" x14ac:dyDescent="0.25">
      <c r="A18" t="s">
        <v>8</v>
      </c>
      <c r="C18">
        <v>-75.626337000000007</v>
      </c>
      <c r="D18">
        <v>-3.0046E-2</v>
      </c>
      <c r="E18">
        <f>D18+C18</f>
        <v>-75.656383000000005</v>
      </c>
    </row>
    <row r="19" spans="1:7" x14ac:dyDescent="0.25">
      <c r="A19" t="s">
        <v>9</v>
      </c>
      <c r="C19">
        <v>-40.414459000000001</v>
      </c>
      <c r="D19">
        <v>4.9480000000000001E-3</v>
      </c>
      <c r="E19">
        <f>D19+C19</f>
        <v>-40.409511000000002</v>
      </c>
    </row>
    <row r="20" spans="1:7" x14ac:dyDescent="0.25">
      <c r="F20">
        <f>(E17-E18-E19)*627.5095</f>
        <v>17.338714994504155</v>
      </c>
      <c r="G20" t="s">
        <v>18</v>
      </c>
    </row>
    <row r="21" spans="1:7" x14ac:dyDescent="0.25">
      <c r="A21" t="s">
        <v>6</v>
      </c>
    </row>
    <row r="22" spans="1:7" x14ac:dyDescent="0.25">
      <c r="A22" t="s">
        <v>7</v>
      </c>
      <c r="C22">
        <v>-116.027721</v>
      </c>
      <c r="D22">
        <v>-3.7114000000000001E-2</v>
      </c>
      <c r="E22">
        <f>D22+C22</f>
        <v>-116.064835</v>
      </c>
    </row>
    <row r="23" spans="1:7" x14ac:dyDescent="0.25">
      <c r="A23" t="s">
        <v>8</v>
      </c>
      <c r="C23">
        <v>-75.626337000000007</v>
      </c>
      <c r="D23">
        <v>-4.5497000000000003E-2</v>
      </c>
      <c r="E23">
        <f>D23+C23</f>
        <v>-75.671834000000004</v>
      </c>
    </row>
    <row r="24" spans="1:7" x14ac:dyDescent="0.25">
      <c r="A24" t="s">
        <v>9</v>
      </c>
      <c r="C24">
        <v>-40.414459000000001</v>
      </c>
      <c r="D24">
        <v>-1.2057E-2</v>
      </c>
      <c r="E24">
        <f>D24+C24</f>
        <v>-40.426515999999999</v>
      </c>
    </row>
    <row r="25" spans="1:7" x14ac:dyDescent="0.25">
      <c r="F25">
        <f>(E22-E23-E24)*627.5095</f>
        <v>21.030980892500811</v>
      </c>
      <c r="G25" t="s">
        <v>18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I2" sqref="I2:I6"/>
    </sheetView>
  </sheetViews>
  <sheetFormatPr defaultRowHeight="15.75" x14ac:dyDescent="0.25"/>
  <cols>
    <col min="4" max="4" width="21.5" bestFit="1" customWidth="1"/>
    <col min="5" max="5" width="27.125" bestFit="1" customWidth="1"/>
    <col min="10" max="11" width="12.75" bestFit="1" customWidth="1"/>
  </cols>
  <sheetData>
    <row r="1" spans="1:15" ht="18.75" x14ac:dyDescent="0.25">
      <c r="A1" t="s">
        <v>2</v>
      </c>
      <c r="B1" t="s">
        <v>10</v>
      </c>
      <c r="C1" t="s">
        <v>12</v>
      </c>
      <c r="D1" t="s">
        <v>13</v>
      </c>
      <c r="E1" t="s">
        <v>11</v>
      </c>
      <c r="H1" t="s">
        <v>15</v>
      </c>
      <c r="I1" t="s">
        <v>19</v>
      </c>
      <c r="M1" t="s">
        <v>16</v>
      </c>
      <c r="N1" t="s">
        <v>17</v>
      </c>
    </row>
    <row r="2" spans="1:15" x14ac:dyDescent="0.25">
      <c r="A2" t="s">
        <v>7</v>
      </c>
      <c r="C2">
        <v>-132.11986300000001</v>
      </c>
      <c r="D2">
        <v>1.9241000000000001E-2</v>
      </c>
      <c r="E2">
        <f>D2+C2</f>
        <v>-132.10062200000002</v>
      </c>
      <c r="H2">
        <f>M2*N2</f>
        <v>3.0020698309404741E-14</v>
      </c>
      <c r="I2">
        <f>LN(H2)</f>
        <v>-31.136889307503402</v>
      </c>
      <c r="J2" t="s">
        <v>2</v>
      </c>
      <c r="M2">
        <f>8.46494151524702E-10*273</f>
        <v>2.3109290336624366E-7</v>
      </c>
      <c r="N2">
        <f>EXP(-O2)</f>
        <v>1.2990748686828753E-7</v>
      </c>
      <c r="O2">
        <f>F5*4184/8.31451/273</f>
        <v>15.856443279301107</v>
      </c>
    </row>
    <row r="3" spans="1:15" x14ac:dyDescent="0.25">
      <c r="A3" t="s">
        <v>8</v>
      </c>
      <c r="C3">
        <v>-75.645572599999994</v>
      </c>
      <c r="D3">
        <v>-6.5760000000000002E-3</v>
      </c>
      <c r="E3">
        <f>D3+C3</f>
        <v>-75.65214859999999</v>
      </c>
      <c r="H3">
        <f>M3*N3</f>
        <v>4.3668891366436218E-14</v>
      </c>
      <c r="I3">
        <f t="shared" ref="I3:I6" si="0">LN(H3)</f>
        <v>-30.762140414352448</v>
      </c>
      <c r="J3" t="s">
        <v>3</v>
      </c>
      <c r="M3">
        <f>8.46494151524702E-10*298</f>
        <v>2.5225525715436123E-7</v>
      </c>
      <c r="N3">
        <f t="shared" ref="N3:N6" si="1">EXP(-O3)</f>
        <v>1.7311390001959063E-7</v>
      </c>
      <c r="O3">
        <f>F10*4184/8.31451/298</f>
        <v>15.569316077470596</v>
      </c>
    </row>
    <row r="4" spans="1:15" x14ac:dyDescent="0.25">
      <c r="A4" t="s">
        <v>14</v>
      </c>
      <c r="C4">
        <v>-56.480549000000003</v>
      </c>
      <c r="D4">
        <v>1.8367000000000001E-2</v>
      </c>
      <c r="E4">
        <f t="shared" ref="E4:E24" si="2">D4+C4</f>
        <v>-56.462182000000006</v>
      </c>
      <c r="H4">
        <f>M4*N4</f>
        <v>1.2974994127681892E-13</v>
      </c>
      <c r="I4">
        <f t="shared" si="0"/>
        <v>-29.673167325451928</v>
      </c>
      <c r="J4" t="s">
        <v>4</v>
      </c>
      <c r="M4">
        <f>8.46494151524702E-10*400</f>
        <v>3.3859766060988083E-7</v>
      </c>
      <c r="N4">
        <f t="shared" si="1"/>
        <v>3.8319798501594432E-7</v>
      </c>
      <c r="O4">
        <f>F15*4184/8.31451/400</f>
        <v>14.774714049172653</v>
      </c>
    </row>
    <row r="5" spans="1:15" x14ac:dyDescent="0.25">
      <c r="F5">
        <f>(E2-E3-E4)*627.5095</f>
        <v>8.6022767316872955</v>
      </c>
      <c r="G5" t="s">
        <v>18</v>
      </c>
      <c r="H5">
        <f>M5*N5</f>
        <v>4.1741777515618121E-13</v>
      </c>
      <c r="I5">
        <f t="shared" si="0"/>
        <v>-28.50468881574983</v>
      </c>
      <c r="J5" t="s">
        <v>5</v>
      </c>
      <c r="M5">
        <f>8.46494151524702E-10*600</f>
        <v>5.0789649091482122E-7</v>
      </c>
      <c r="N5">
        <f t="shared" si="1"/>
        <v>8.2185599353980557E-7</v>
      </c>
      <c r="O5">
        <f>F20*4184/8.31451/600</f>
        <v>14.011700647578721</v>
      </c>
    </row>
    <row r="6" spans="1:15" x14ac:dyDescent="0.25">
      <c r="A6" t="s">
        <v>3</v>
      </c>
      <c r="H6">
        <f>M6*N6</f>
        <v>8.4855715316490515E-13</v>
      </c>
      <c r="I6">
        <f t="shared" si="0"/>
        <v>-27.795238954620455</v>
      </c>
      <c r="J6" t="s">
        <v>6</v>
      </c>
      <c r="M6">
        <f>8.46494151524702E-10*800</f>
        <v>6.7719532121976166E-7</v>
      </c>
      <c r="N6">
        <f t="shared" si="1"/>
        <v>1.253046390864732E-6</v>
      </c>
      <c r="O6">
        <f>F25*4184/8.31451/800</f>
        <v>13.589932858901125</v>
      </c>
    </row>
    <row r="7" spans="1:15" x14ac:dyDescent="0.25">
      <c r="A7" t="s">
        <v>7</v>
      </c>
      <c r="C7">
        <v>-132.11986300000001</v>
      </c>
      <c r="D7">
        <v>1.6704E-2</v>
      </c>
      <c r="E7">
        <f>D7+C7</f>
        <v>-132.10315900000001</v>
      </c>
    </row>
    <row r="8" spans="1:15" x14ac:dyDescent="0.25">
      <c r="A8" t="s">
        <v>8</v>
      </c>
      <c r="C8">
        <v>-75.645572999999999</v>
      </c>
      <c r="D8">
        <v>-8.2690000000000003E-3</v>
      </c>
      <c r="E8">
        <f t="shared" si="2"/>
        <v>-75.653841999999997</v>
      </c>
    </row>
    <row r="9" spans="1:15" x14ac:dyDescent="0.25">
      <c r="A9" t="s">
        <v>14</v>
      </c>
      <c r="C9">
        <v>-56.480549000000003</v>
      </c>
      <c r="D9">
        <v>1.6539000000000002E-2</v>
      </c>
      <c r="E9">
        <f t="shared" si="2"/>
        <v>-56.464010000000002</v>
      </c>
    </row>
    <row r="10" spans="1:15" x14ac:dyDescent="0.25">
      <c r="F10">
        <f>(E7-E8-E9)*627.5095</f>
        <v>9.2199970834962794</v>
      </c>
      <c r="G10" t="s">
        <v>18</v>
      </c>
    </row>
    <row r="11" spans="1:15" x14ac:dyDescent="0.25">
      <c r="A11" t="s">
        <v>4</v>
      </c>
    </row>
    <row r="12" spans="1:15" x14ac:dyDescent="0.25">
      <c r="A12" t="s">
        <v>7</v>
      </c>
      <c r="C12">
        <v>-132.11986300000001</v>
      </c>
      <c r="D12">
        <v>5.9709999999999997E-3</v>
      </c>
      <c r="E12">
        <f>D12+C12</f>
        <v>-132.11389200000002</v>
      </c>
    </row>
    <row r="13" spans="1:15" x14ac:dyDescent="0.25">
      <c r="A13" t="s">
        <v>8</v>
      </c>
      <c r="C13">
        <v>-75.645572599999994</v>
      </c>
      <c r="D13">
        <v>-1.5351E-2</v>
      </c>
      <c r="E13">
        <f t="shared" si="2"/>
        <v>-75.66092359999999</v>
      </c>
    </row>
    <row r="14" spans="1:15" x14ac:dyDescent="0.25">
      <c r="A14" t="s">
        <v>14</v>
      </c>
      <c r="C14">
        <v>-56.480549000000003</v>
      </c>
      <c r="D14">
        <v>8.8649999999999996E-3</v>
      </c>
      <c r="E14">
        <f t="shared" si="2"/>
        <v>-56.471684000000003</v>
      </c>
    </row>
    <row r="15" spans="1:15" x14ac:dyDescent="0.25">
      <c r="F15">
        <f>(E12-E13-E14)*627.5095</f>
        <v>11.744216798182268</v>
      </c>
      <c r="G15" t="s">
        <v>18</v>
      </c>
    </row>
    <row r="16" spans="1:15" x14ac:dyDescent="0.25">
      <c r="A16" t="s">
        <v>5</v>
      </c>
    </row>
    <row r="17" spans="1:7" x14ac:dyDescent="0.25">
      <c r="A17" t="s">
        <v>7</v>
      </c>
      <c r="C17">
        <v>-132.11986300000001</v>
      </c>
      <c r="D17">
        <v>-1.6926E-2</v>
      </c>
      <c r="E17">
        <f>D17+C17</f>
        <v>-132.13678900000002</v>
      </c>
    </row>
    <row r="18" spans="1:7" x14ac:dyDescent="0.25">
      <c r="A18" t="s">
        <v>8</v>
      </c>
      <c r="C18">
        <v>-75.645572599999994</v>
      </c>
      <c r="D18">
        <v>-3.0046E-2</v>
      </c>
      <c r="E18">
        <f>D18+C18</f>
        <v>-75.675618599999993</v>
      </c>
    </row>
    <row r="19" spans="1:7" x14ac:dyDescent="0.25">
      <c r="A19" t="s">
        <v>14</v>
      </c>
      <c r="C19">
        <v>-56.480549000000003</v>
      </c>
      <c r="D19">
        <v>-7.2449999999999997E-3</v>
      </c>
      <c r="E19">
        <f t="shared" si="2"/>
        <v>-56.487794000000001</v>
      </c>
    </row>
    <row r="20" spans="1:7" x14ac:dyDescent="0.25">
      <c r="F20">
        <f>(E17-E18-E19)*627.5095</f>
        <v>16.706561924182566</v>
      </c>
      <c r="G20" t="s">
        <v>18</v>
      </c>
    </row>
    <row r="21" spans="1:7" x14ac:dyDescent="0.25">
      <c r="A21" t="s">
        <v>6</v>
      </c>
    </row>
    <row r="22" spans="1:7" x14ac:dyDescent="0.25">
      <c r="A22" t="s">
        <v>7</v>
      </c>
      <c r="C22">
        <v>-132.11986300000001</v>
      </c>
      <c r="D22">
        <v>-4.1803E-2</v>
      </c>
      <c r="E22">
        <f>D22+C22</f>
        <v>-132.161666</v>
      </c>
    </row>
    <row r="23" spans="1:7" x14ac:dyDescent="0.25">
      <c r="A23" t="s">
        <v>8</v>
      </c>
      <c r="C23">
        <v>-75.645572599999994</v>
      </c>
      <c r="D23">
        <v>-4.5497000000000003E-2</v>
      </c>
      <c r="E23">
        <f t="shared" si="2"/>
        <v>-75.691069599999992</v>
      </c>
    </row>
    <row r="24" spans="1:7" x14ac:dyDescent="0.25">
      <c r="A24" t="s">
        <v>14</v>
      </c>
      <c r="C24">
        <v>-56.480549000000003</v>
      </c>
      <c r="D24">
        <v>-2.4476999999999999E-2</v>
      </c>
      <c r="E24">
        <f t="shared" si="2"/>
        <v>-56.505026000000001</v>
      </c>
    </row>
    <row r="25" spans="1:7" x14ac:dyDescent="0.25">
      <c r="F25">
        <f>(E22-E23-E24)*627.5095</f>
        <v>21.604901081197323</v>
      </c>
      <c r="G25" t="s">
        <v>18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E33" sqref="E33"/>
    </sheetView>
  </sheetViews>
  <sheetFormatPr defaultRowHeight="15.75" x14ac:dyDescent="0.25"/>
  <cols>
    <col min="3" max="3" width="12.75" bestFit="1" customWidth="1"/>
    <col min="4" max="4" width="21.5" bestFit="1" customWidth="1"/>
    <col min="5" max="5" width="27.125" bestFit="1" customWidth="1"/>
  </cols>
  <sheetData>
    <row r="1" spans="1:15" ht="18.75" x14ac:dyDescent="0.25">
      <c r="A1" t="s">
        <v>2</v>
      </c>
      <c r="B1" t="s">
        <v>10</v>
      </c>
      <c r="C1" t="s">
        <v>12</v>
      </c>
      <c r="D1" t="s">
        <v>13</v>
      </c>
      <c r="E1" t="s">
        <v>11</v>
      </c>
      <c r="H1" t="s">
        <v>15</v>
      </c>
      <c r="I1" t="s">
        <v>19</v>
      </c>
      <c r="M1" t="s">
        <v>16</v>
      </c>
      <c r="N1" t="s">
        <v>17</v>
      </c>
    </row>
    <row r="2" spans="1:15" x14ac:dyDescent="0.25">
      <c r="A2" t="s">
        <v>7</v>
      </c>
      <c r="C2">
        <v>-132.07466600000001</v>
      </c>
      <c r="D2">
        <v>1.9241000000000001E-2</v>
      </c>
      <c r="E2">
        <f>D2+C2</f>
        <v>-132.05542500000001</v>
      </c>
      <c r="H2">
        <f>M2*N2</f>
        <v>3.0711251683616471E-17</v>
      </c>
      <c r="I2">
        <f>LN(H2)</f>
        <v>-38.021902582093659</v>
      </c>
      <c r="J2" t="s">
        <v>2</v>
      </c>
      <c r="M2">
        <f>8.46494151524702E-10*273</f>
        <v>2.3109290336624366E-7</v>
      </c>
      <c r="N2">
        <f>EXP(-O2)</f>
        <v>1.3289569362043224E-10</v>
      </c>
      <c r="O2">
        <f>F5*4184/8.31451/273</f>
        <v>22.741456553891361</v>
      </c>
    </row>
    <row r="3" spans="1:15" x14ac:dyDescent="0.25">
      <c r="A3" t="s">
        <v>8</v>
      </c>
      <c r="C3">
        <v>-75.626337000000007</v>
      </c>
      <c r="D3">
        <v>-6.5760000000000002E-3</v>
      </c>
      <c r="E3">
        <f>D3+C3</f>
        <v>-75.632913000000002</v>
      </c>
      <c r="H3">
        <f>M3*N3</f>
        <v>7.9631012912986152E-17</v>
      </c>
      <c r="I3">
        <f t="shared" ref="I3:I6" si="0">LN(H3)</f>
        <v>-37.069128047460914</v>
      </c>
      <c r="J3" t="s">
        <v>3</v>
      </c>
      <c r="M3">
        <f>8.46494151524702E-10*298</f>
        <v>2.5225525715436123E-7</v>
      </c>
      <c r="N3">
        <f t="shared" ref="N3:N6" si="1">EXP(-O3)</f>
        <v>3.1567632647694619E-10</v>
      </c>
      <c r="O3">
        <f>F10*4184/8.31451/298</f>
        <v>21.876303710579066</v>
      </c>
    </row>
    <row r="4" spans="1:15" x14ac:dyDescent="0.25">
      <c r="A4" t="s">
        <v>14</v>
      </c>
      <c r="C4">
        <v>-56.460540000000002</v>
      </c>
      <c r="D4">
        <v>1.8367000000000001E-2</v>
      </c>
      <c r="E4">
        <f t="shared" ref="E4:E24" si="2">D4+C4</f>
        <v>-56.442173000000004</v>
      </c>
      <c r="H4">
        <f>M4*N4</f>
        <v>1.1812669034837075E-15</v>
      </c>
      <c r="I4">
        <f t="shared" si="0"/>
        <v>-34.372188885359776</v>
      </c>
      <c r="J4" t="s">
        <v>4</v>
      </c>
      <c r="M4">
        <f>8.46494151524702E-10*400</f>
        <v>3.3859766060988083E-7</v>
      </c>
      <c r="N4">
        <f t="shared" si="1"/>
        <v>3.488703676676366E-9</v>
      </c>
      <c r="O4">
        <f>F15*4184/8.31451/400</f>
        <v>19.473735609080503</v>
      </c>
    </row>
    <row r="5" spans="1:15" x14ac:dyDescent="0.25">
      <c r="F5">
        <f>(E2-E3-E4)*627.5095</f>
        <v>12.337464279495078</v>
      </c>
      <c r="G5" t="s">
        <v>18</v>
      </c>
      <c r="H5">
        <f>M5*N5</f>
        <v>1.8199726003602137E-14</v>
      </c>
      <c r="I5">
        <f t="shared" si="0"/>
        <v>-31.637369855688394</v>
      </c>
      <c r="J5" t="s">
        <v>5</v>
      </c>
      <c r="M5">
        <f>8.46494151524702E-10*600</f>
        <v>5.0789649091482122E-7</v>
      </c>
      <c r="N5">
        <f t="shared" si="1"/>
        <v>3.5833533661201047E-8</v>
      </c>
      <c r="O5">
        <f>F20*4184/8.31451/600</f>
        <v>17.144381687517285</v>
      </c>
    </row>
    <row r="6" spans="1:15" x14ac:dyDescent="0.25">
      <c r="A6" t="s">
        <v>3</v>
      </c>
      <c r="H6">
        <f>M6*N6</f>
        <v>8.096578518706476E-14</v>
      </c>
      <c r="I6">
        <f t="shared" si="0"/>
        <v>-30.144749734574376</v>
      </c>
      <c r="J6" t="s">
        <v>6</v>
      </c>
      <c r="M6">
        <f>8.46494151524702E-10*800</f>
        <v>6.7719532121976166E-7</v>
      </c>
      <c r="N6">
        <f t="shared" si="1"/>
        <v>1.195604615832689E-7</v>
      </c>
      <c r="O6">
        <f>F25*4184/8.31451/800</f>
        <v>15.939443638855048</v>
      </c>
    </row>
    <row r="7" spans="1:15" x14ac:dyDescent="0.25">
      <c r="A7" t="s">
        <v>7</v>
      </c>
      <c r="C7">
        <v>-132.07466600000001</v>
      </c>
      <c r="D7">
        <v>1.6704E-2</v>
      </c>
      <c r="E7">
        <f>D7+C7</f>
        <v>-132.057962</v>
      </c>
    </row>
    <row r="8" spans="1:15" x14ac:dyDescent="0.25">
      <c r="A8" t="s">
        <v>8</v>
      </c>
      <c r="C8">
        <v>-75.626337000000007</v>
      </c>
      <c r="D8">
        <v>-8.2690000000000003E-3</v>
      </c>
      <c r="E8">
        <f t="shared" si="2"/>
        <v>-75.634606000000005</v>
      </c>
    </row>
    <row r="9" spans="1:15" x14ac:dyDescent="0.25">
      <c r="A9" t="s">
        <v>14</v>
      </c>
      <c r="C9">
        <v>-56.460540000000002</v>
      </c>
      <c r="D9">
        <v>1.6539000000000002E-2</v>
      </c>
      <c r="E9">
        <f t="shared" si="2"/>
        <v>-56.444001</v>
      </c>
    </row>
    <row r="10" spans="1:15" x14ac:dyDescent="0.25">
      <c r="F10">
        <f>(E7-E8-E9)*627.5095</f>
        <v>12.954933627501131</v>
      </c>
      <c r="G10" t="s">
        <v>18</v>
      </c>
    </row>
    <row r="11" spans="1:15" x14ac:dyDescent="0.25">
      <c r="A11" t="s">
        <v>4</v>
      </c>
    </row>
    <row r="12" spans="1:15" x14ac:dyDescent="0.25">
      <c r="A12" t="s">
        <v>7</v>
      </c>
      <c r="C12">
        <v>-132.07466600000001</v>
      </c>
      <c r="D12">
        <v>5.9709999999999997E-3</v>
      </c>
      <c r="E12">
        <f>D12+C12</f>
        <v>-132.06869500000002</v>
      </c>
    </row>
    <row r="13" spans="1:15" x14ac:dyDescent="0.25">
      <c r="A13" t="s">
        <v>8</v>
      </c>
      <c r="C13">
        <v>-75.626337000000007</v>
      </c>
      <c r="D13">
        <v>-1.5351E-2</v>
      </c>
      <c r="E13">
        <f t="shared" si="2"/>
        <v>-75.641688000000002</v>
      </c>
    </row>
    <row r="14" spans="1:15" x14ac:dyDescent="0.25">
      <c r="A14" t="s">
        <v>14</v>
      </c>
      <c r="C14">
        <v>-56.460540000000002</v>
      </c>
      <c r="D14">
        <v>8.8649999999999996E-3</v>
      </c>
      <c r="E14">
        <f t="shared" si="2"/>
        <v>-56.451675000000002</v>
      </c>
    </row>
    <row r="15" spans="1:15" x14ac:dyDescent="0.25">
      <c r="F15">
        <f>(E12-E13-E14)*627.5095</f>
        <v>15.479404345990051</v>
      </c>
      <c r="G15" t="s">
        <v>18</v>
      </c>
    </row>
    <row r="16" spans="1:15" x14ac:dyDescent="0.25">
      <c r="A16" t="s">
        <v>5</v>
      </c>
    </row>
    <row r="17" spans="1:7" x14ac:dyDescent="0.25">
      <c r="A17" t="s">
        <v>7</v>
      </c>
      <c r="C17">
        <v>-132.07466600000001</v>
      </c>
      <c r="D17">
        <v>-1.6926E-2</v>
      </c>
      <c r="E17">
        <f>D17+C17</f>
        <v>-132.09159200000002</v>
      </c>
    </row>
    <row r="18" spans="1:7" x14ac:dyDescent="0.25">
      <c r="A18" t="s">
        <v>8</v>
      </c>
      <c r="C18">
        <v>-75.626337000000007</v>
      </c>
      <c r="D18">
        <v>-3.0046E-2</v>
      </c>
      <c r="E18">
        <f>D18+C18</f>
        <v>-75.656383000000005</v>
      </c>
    </row>
    <row r="19" spans="1:7" x14ac:dyDescent="0.25">
      <c r="A19" t="s">
        <v>14</v>
      </c>
      <c r="C19">
        <v>-56.460540000000002</v>
      </c>
      <c r="D19">
        <v>-7.2449999999999997E-3</v>
      </c>
      <c r="E19">
        <f t="shared" si="2"/>
        <v>-56.467784999999999</v>
      </c>
    </row>
    <row r="20" spans="1:7" x14ac:dyDescent="0.25">
      <c r="F20">
        <f>(E17-E18-E19)*627.5095</f>
        <v>20.441749471990349</v>
      </c>
      <c r="G20" t="s">
        <v>18</v>
      </c>
    </row>
    <row r="21" spans="1:7" x14ac:dyDescent="0.25">
      <c r="A21" t="s">
        <v>6</v>
      </c>
    </row>
    <row r="22" spans="1:7" x14ac:dyDescent="0.25">
      <c r="A22" t="s">
        <v>7</v>
      </c>
      <c r="C22">
        <v>-132.07466600000001</v>
      </c>
      <c r="D22">
        <v>-4.1803E-2</v>
      </c>
      <c r="E22">
        <f>D22+C22</f>
        <v>-132.116469</v>
      </c>
    </row>
    <row r="23" spans="1:7" x14ac:dyDescent="0.25">
      <c r="A23" t="s">
        <v>8</v>
      </c>
      <c r="C23">
        <v>-75.626337000000007</v>
      </c>
      <c r="D23">
        <v>-4.5497000000000003E-2</v>
      </c>
      <c r="E23">
        <f t="shared" si="2"/>
        <v>-75.671834000000004</v>
      </c>
    </row>
    <row r="24" spans="1:7" x14ac:dyDescent="0.25">
      <c r="A24" t="s">
        <v>14</v>
      </c>
      <c r="C24">
        <v>-56.460540000000002</v>
      </c>
      <c r="D24">
        <v>-2.4476999999999999E-2</v>
      </c>
      <c r="E24">
        <f t="shared" si="2"/>
        <v>-56.485016999999999</v>
      </c>
    </row>
    <row r="25" spans="1:7" x14ac:dyDescent="0.25">
      <c r="F25">
        <f>(E22-E23-E24)*627.5095</f>
        <v>25.340088629005106</v>
      </c>
      <c r="G25" t="s">
        <v>18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="115" zoomScaleNormal="115" workbookViewId="0">
      <selection activeCell="C12" sqref="C12"/>
    </sheetView>
  </sheetViews>
  <sheetFormatPr defaultRowHeight="15.75" x14ac:dyDescent="0.25"/>
  <cols>
    <col min="1" max="1" width="5.5" bestFit="1" customWidth="1"/>
    <col min="2" max="2" width="15.625" bestFit="1" customWidth="1"/>
    <col min="3" max="3" width="13.875" bestFit="1" customWidth="1"/>
    <col min="16" max="17" width="12.75" bestFit="1" customWidth="1"/>
  </cols>
  <sheetData>
    <row r="1" spans="1:18" ht="18.75" x14ac:dyDescent="0.25">
      <c r="B1" t="s">
        <v>20</v>
      </c>
      <c r="C1" t="s">
        <v>23</v>
      </c>
      <c r="D1" t="s">
        <v>25</v>
      </c>
      <c r="P1" t="s">
        <v>24</v>
      </c>
    </row>
    <row r="2" spans="1:18" x14ac:dyDescent="0.25">
      <c r="A2" s="2">
        <f>1000/273</f>
        <v>3.6630036630036629</v>
      </c>
      <c r="B2" s="2">
        <v>-32.428436552725799</v>
      </c>
      <c r="C2" s="2">
        <v>-35.693508703715374</v>
      </c>
      <c r="D2" s="2">
        <v>-33.233190373753708</v>
      </c>
      <c r="P2">
        <f>LN(Q2)</f>
        <v>-33.233190373753708</v>
      </c>
      <c r="Q2">
        <f>1.85*10^-20*273^2.82*R2</f>
        <v>3.6898507908725453E-15</v>
      </c>
      <c r="R2">
        <f>EXP(-987/273)</f>
        <v>2.6906574544324643E-2</v>
      </c>
    </row>
    <row r="3" spans="1:18" x14ac:dyDescent="0.25">
      <c r="A3" s="2">
        <f>1000/298</f>
        <v>3.3557046979865772</v>
      </c>
      <c r="B3" s="2">
        <v>-31.728109824028476</v>
      </c>
      <c r="C3" s="2">
        <v>-34.718842669408772</v>
      </c>
      <c r="D3" s="2">
        <v>-32.682793125758195</v>
      </c>
      <c r="P3">
        <f t="shared" ref="P3:P6" si="0">LN(Q3)</f>
        <v>-32.682478404545058</v>
      </c>
      <c r="Q3">
        <f>6.4*10^-15</f>
        <v>6.4000000000000007E-15</v>
      </c>
    </row>
    <row r="4" spans="1:18" x14ac:dyDescent="0.25">
      <c r="A4" s="2">
        <f>1000/400</f>
        <v>2.5</v>
      </c>
      <c r="B4" s="2">
        <v>-29.692587379629906</v>
      </c>
      <c r="C4" s="2">
        <v>-31.920999122680268</v>
      </c>
      <c r="D4" s="2">
        <v>-31.008086197946174</v>
      </c>
      <c r="P4">
        <f t="shared" si="0"/>
        <v>-31.008086197946174</v>
      </c>
      <c r="Q4">
        <f>1.85*10^-20*400^2.82*R4</f>
        <v>3.4147528003338221E-14</v>
      </c>
      <c r="R4">
        <f>EXP(-987/400)</f>
        <v>8.479658569716382E-2</v>
      </c>
    </row>
    <row r="5" spans="1:18" x14ac:dyDescent="0.25">
      <c r="A5" s="2">
        <f>1000/600</f>
        <v>1.6666666666666667</v>
      </c>
      <c r="B5" s="2">
        <v>-27.549264254258667</v>
      </c>
      <c r="C5" s="2">
        <v>-29.034872082958913</v>
      </c>
      <c r="D5" s="2">
        <v>-29.042174593081146</v>
      </c>
      <c r="P5">
        <f t="shared" si="0"/>
        <v>-29.042174593081146</v>
      </c>
      <c r="Q5">
        <f>1.85*10^-20*600^2.82*R5</f>
        <v>2.4386183180941257E-13</v>
      </c>
      <c r="R5">
        <f>EXP(-987/600)</f>
        <v>0.19301256279376172</v>
      </c>
    </row>
    <row r="6" spans="1:18" x14ac:dyDescent="0.25">
      <c r="A6" s="2">
        <f>1000/800</f>
        <v>1.25</v>
      </c>
      <c r="B6" s="2">
        <v>-26.32002532835293</v>
      </c>
      <c r="C6" s="2">
        <v>-27.434231199878109</v>
      </c>
      <c r="D6" s="2">
        <v>-27.819661148767125</v>
      </c>
      <c r="P6">
        <f t="shared" si="0"/>
        <v>-27.819661148767125</v>
      </c>
      <c r="Q6">
        <f>1.85*10^-20*800^2.82*R6</f>
        <v>8.2808453629102852E-13</v>
      </c>
      <c r="R6">
        <f>EXP(-987/800)</f>
        <v>0.29119853313017191</v>
      </c>
    </row>
    <row r="17" spans="1:17" ht="18.75" x14ac:dyDescent="0.25">
      <c r="B17" t="s">
        <v>21</v>
      </c>
      <c r="C17" t="s">
        <v>22</v>
      </c>
      <c r="D17" t="s">
        <v>25</v>
      </c>
    </row>
    <row r="18" spans="1:17" x14ac:dyDescent="0.25">
      <c r="A18" s="2">
        <v>3.6630036630036629</v>
      </c>
      <c r="B18" s="2">
        <v>-31.136889307503402</v>
      </c>
      <c r="C18" s="2">
        <v>-38.021902582093659</v>
      </c>
      <c r="D18" s="2">
        <v>-30.072868276256102</v>
      </c>
      <c r="E18" s="2">
        <f>1000/250</f>
        <v>4</v>
      </c>
      <c r="P18" t="s">
        <v>24</v>
      </c>
    </row>
    <row r="19" spans="1:17" x14ac:dyDescent="0.25">
      <c r="A19" s="2">
        <v>3.3557046979865772</v>
      </c>
      <c r="B19" s="2">
        <v>-30.762140414352448</v>
      </c>
      <c r="C19" s="2">
        <v>-37.069128047460914</v>
      </c>
      <c r="D19" s="2">
        <v>-29.463602579676859</v>
      </c>
      <c r="E19" s="2">
        <f>1000/300</f>
        <v>3.3333333333333335</v>
      </c>
      <c r="O19">
        <v>250</v>
      </c>
      <c r="P19">
        <f t="shared" ref="P19:P24" si="1">LN(Q19)</f>
        <v>-30.072868276256102</v>
      </c>
      <c r="Q19">
        <f>8.7*10^-14</f>
        <v>8.6999999999999995E-14</v>
      </c>
    </row>
    <row r="20" spans="1:17" x14ac:dyDescent="0.25">
      <c r="A20" s="2">
        <v>2.5</v>
      </c>
      <c r="B20" s="2">
        <v>-29.673167325451928</v>
      </c>
      <c r="C20" s="2">
        <v>-34.372188885359776</v>
      </c>
      <c r="D20" s="2">
        <v>-28.680843240427226</v>
      </c>
      <c r="E20" s="2">
        <f>1000/400</f>
        <v>2.5</v>
      </c>
      <c r="O20">
        <v>300</v>
      </c>
      <c r="P20">
        <f t="shared" si="1"/>
        <v>-29.463602579676859</v>
      </c>
      <c r="Q20">
        <f>1.6*10^-13</f>
        <v>1.6000000000000003E-13</v>
      </c>
    </row>
    <row r="21" spans="1:17" x14ac:dyDescent="0.25">
      <c r="A21" s="2">
        <v>1.6666666666666667</v>
      </c>
      <c r="B21" s="2">
        <v>-28.50468881574983</v>
      </c>
      <c r="C21" s="2">
        <v>-31.637369855688394</v>
      </c>
      <c r="D21" s="2">
        <v>-28.00208479731938</v>
      </c>
      <c r="E21" s="2">
        <f>1000/500</f>
        <v>2</v>
      </c>
      <c r="O21">
        <v>400</v>
      </c>
      <c r="P21">
        <f t="shared" si="1"/>
        <v>-28.680843240427226</v>
      </c>
      <c r="Q21">
        <f>3.5*10^-13</f>
        <v>3.5000000000000002E-13</v>
      </c>
    </row>
    <row r="22" spans="1:17" x14ac:dyDescent="0.25">
      <c r="A22" s="2">
        <v>1.25</v>
      </c>
      <c r="B22" s="2">
        <v>-27.795238954620455</v>
      </c>
      <c r="C22" s="2">
        <v>-30.144749734574376</v>
      </c>
      <c r="D22" s="2">
        <v>-27.294548879307335</v>
      </c>
      <c r="E22" s="2">
        <f>1000/700</f>
        <v>1.4285714285714286</v>
      </c>
      <c r="O22">
        <v>500</v>
      </c>
      <c r="P22">
        <f t="shared" si="1"/>
        <v>-28.00208479731938</v>
      </c>
      <c r="Q22">
        <f>6.9*10^-13</f>
        <v>6.9000000000000009E-13</v>
      </c>
    </row>
    <row r="23" spans="1:17" x14ac:dyDescent="0.25">
      <c r="A23">
        <f>900/1000</f>
        <v>0.9</v>
      </c>
      <c r="D23" s="2">
        <v>-26.755552378574649</v>
      </c>
      <c r="E23" s="2">
        <f>1000/900</f>
        <v>1.1111111111111112</v>
      </c>
      <c r="O23">
        <v>700</v>
      </c>
      <c r="P23">
        <f t="shared" si="1"/>
        <v>-27.294548879307335</v>
      </c>
      <c r="Q23">
        <f>1.4*10^-12</f>
        <v>1.3999999999999999E-12</v>
      </c>
    </row>
    <row r="24" spans="1:17" x14ac:dyDescent="0.25">
      <c r="O24">
        <v>900</v>
      </c>
      <c r="P24">
        <f t="shared" si="1"/>
        <v>-26.755552378574649</v>
      </c>
      <c r="Q24">
        <f>2.4*10^-12</f>
        <v>2.3999999999999999E-12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工作表1</vt:lpstr>
      <vt:lpstr>CH4</vt:lpstr>
      <vt:lpstr>MP2_CH4</vt:lpstr>
      <vt:lpstr>NH3</vt:lpstr>
      <vt:lpstr>MP2-NH3</vt:lpstr>
      <vt:lpstr>mix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arnab</dc:creator>
  <cp:lastModifiedBy>student</cp:lastModifiedBy>
  <dcterms:created xsi:type="dcterms:W3CDTF">2022-12-12T02:16:39Z</dcterms:created>
  <dcterms:modified xsi:type="dcterms:W3CDTF">2022-12-20T01:27:43Z</dcterms:modified>
</cp:coreProperties>
</file>